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817AB638-251D-4686-8E5A-FA0CD362410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ystem RevReq" sheetId="1" r:id="rId1"/>
  </sheets>
  <externalReferences>
    <externalReference r:id="rId2"/>
    <externalReference r:id="rId3"/>
  </externalReferences>
  <definedNames>
    <definedName name="AF" localSheetId="0">'System RevReq'!#REF!</definedName>
    <definedName name="AF">#REF!</definedName>
    <definedName name="AMORT">#REF!</definedName>
    <definedName name="BCC_INC">#REF!</definedName>
    <definedName name="begin" localSheetId="0">'System RevReq'!#REF!</definedName>
    <definedName name="begin">#REF!</definedName>
    <definedName name="_xlnm.Criteria" localSheetId="0">'System RevReq'!#REF!</definedName>
    <definedName name="_xlnm.Criteria">#REF!</definedName>
    <definedName name="CUSTADV">#REF!</definedName>
    <definedName name="DEFTAXES">#REF!</definedName>
    <definedName name="DEPREC">#REF!</definedName>
    <definedName name="end" localSheetId="0">'System RevReq'!#REF!</definedName>
    <definedName name="end">#REF!</definedName>
    <definedName name="EPIS">#REF!</definedName>
    <definedName name="FUEL_INV">#REF!</definedName>
    <definedName name="IERCOINC">#REF!</definedName>
    <definedName name="INCOM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OKUP_TBL" localSheetId="0">'System RevReq'!#REF!</definedName>
    <definedName name="LOOKUP_TBL">'[1]JSS-RevReq ALL'!#REF!</definedName>
    <definedName name="M_S">#REF!</definedName>
    <definedName name="Modeltype" localSheetId="0">'System RevReq'!#REF!</definedName>
    <definedName name="Modeltype">#REF!</definedName>
    <definedName name="OMSUMM">#REF!</definedName>
    <definedName name="OTHREVNU">#REF!</definedName>
    <definedName name="OTHTAXES">#REF!</definedName>
    <definedName name="PLEASE_DO_NOT_DISTURB_THIS_AREA" localSheetId="0">'System RevReq'!#REF!</definedName>
    <definedName name="PLEASE_DO_NOT_DISTURB_THIS_AREA">'[1]JSS-RevReq ALL'!#REF!</definedName>
    <definedName name="PREPAY">#REF!</definedName>
    <definedName name="_xlnm.Print_Area" localSheetId="0">'System RevReq'!$A$1:$J$1071</definedName>
    <definedName name="_xlnm.Print_Titles" localSheetId="0">'System RevReq'!$1:$3</definedName>
    <definedName name="PROPINS">#REF!</definedName>
    <definedName name="REG_EXP">#REF!</definedName>
    <definedName name="REVENUE">#N/A</definedName>
    <definedName name="SOLAR">#REF!</definedName>
    <definedName name="SUMMARY">#REF!</definedName>
    <definedName name="TWELVE_MONTHS_ENDED_DECEMBER_31__1996">[2]Data!#REF!</definedName>
    <definedName name="WATERHTR">#REF!</definedName>
    <definedName name="ZIP_PRG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G368" i="1" l="1"/>
  <c r="E280" i="1" l="1"/>
  <c r="G371" i="1" l="1"/>
  <c r="H848" i="1" l="1"/>
  <c r="H821" i="1"/>
  <c r="H754" i="1" l="1"/>
  <c r="H753" i="1"/>
  <c r="I610" i="1" l="1"/>
  <c r="I611" i="1" s="1"/>
  <c r="I123" i="1" l="1"/>
  <c r="G40" i="1" l="1"/>
  <c r="F40" i="1"/>
  <c r="H40" i="1" l="1"/>
  <c r="J40" i="1"/>
  <c r="F34" i="1" l="1"/>
  <c r="H34" i="1" s="1"/>
  <c r="J34" i="1" s="1"/>
  <c r="E37" i="1"/>
  <c r="F37" i="1" s="1"/>
  <c r="G37" i="1" s="1"/>
  <c r="H37" i="1" s="1"/>
  <c r="I37" i="1" s="1"/>
  <c r="J37" i="1" s="1"/>
  <c r="H813" i="1" l="1"/>
  <c r="J804" i="1" l="1"/>
  <c r="J801" i="1"/>
  <c r="J800" i="1"/>
  <c r="J855" i="1" l="1"/>
  <c r="H843" i="1"/>
  <c r="H866" i="1" l="1"/>
  <c r="H284" i="1" l="1"/>
  <c r="H285" i="1" s="1"/>
  <c r="I181" i="1" l="1"/>
  <c r="I179" i="1"/>
  <c r="D889" i="1" l="1"/>
  <c r="D880" i="1"/>
  <c r="D879" i="1"/>
  <c r="E679" i="1" l="1"/>
  <c r="H679" i="1"/>
  <c r="I679" i="1"/>
  <c r="D679" i="1"/>
  <c r="E430" i="1"/>
  <c r="E426" i="1"/>
  <c r="G504" i="1" l="1"/>
  <c r="D595" i="1" l="1"/>
  <c r="D596" i="1" l="1"/>
  <c r="J504" i="1" l="1"/>
  <c r="G525" i="1"/>
  <c r="G506" i="1"/>
  <c r="G501" i="1"/>
  <c r="G478" i="1"/>
  <c r="G416" i="1"/>
  <c r="E525" i="1" l="1"/>
  <c r="I536" i="1"/>
  <c r="G604" i="1"/>
  <c r="F604" i="1"/>
  <c r="G569" i="1"/>
  <c r="G610" i="1"/>
  <c r="E596" i="1"/>
  <c r="F596" i="1" s="1"/>
  <c r="E569" i="1"/>
  <c r="E210" i="1" l="1"/>
  <c r="D25" i="1" l="1"/>
  <c r="G25" i="1"/>
  <c r="G351" i="1" l="1"/>
  <c r="F349" i="1"/>
  <c r="F347" i="1"/>
  <c r="F346" i="1"/>
  <c r="F341" i="1"/>
  <c r="G341" i="1" s="1"/>
  <c r="G350" i="1"/>
  <c r="D350" i="1"/>
  <c r="G342" i="1"/>
  <c r="E325" i="1"/>
  <c r="E324" i="1" s="1"/>
  <c r="J303" i="1" l="1"/>
  <c r="G395" i="1" l="1"/>
  <c r="G409" i="1"/>
  <c r="G407" i="1"/>
  <c r="G738" i="1" l="1"/>
  <c r="E720" i="1"/>
  <c r="E721" i="1"/>
  <c r="E722" i="1"/>
  <c r="E719" i="1"/>
  <c r="D703" i="1"/>
  <c r="J702" i="1"/>
  <c r="I658" i="1"/>
  <c r="F678" i="1" l="1"/>
  <c r="F679" i="1" s="1"/>
  <c r="E653" i="1"/>
  <c r="E652" i="1"/>
  <c r="J678" i="1"/>
  <c r="J679" i="1" s="1"/>
  <c r="G678" i="1"/>
  <c r="G679" i="1" s="1"/>
  <c r="E644" i="1" l="1"/>
  <c r="E504" i="1" l="1"/>
  <c r="E503" i="1"/>
  <c r="E590" i="1" l="1"/>
  <c r="I514" i="1"/>
  <c r="G514" i="1"/>
  <c r="D514" i="1"/>
  <c r="E511" i="1"/>
  <c r="E416" i="1"/>
  <c r="G451" i="1"/>
  <c r="I721" i="1"/>
  <c r="I720" i="1"/>
  <c r="I719" i="1"/>
  <c r="F511" i="1" l="1"/>
  <c r="I146" i="1"/>
  <c r="I119" i="1"/>
  <c r="I183" i="1"/>
  <c r="I178" i="1"/>
  <c r="I201" i="1"/>
  <c r="I170" i="1"/>
  <c r="I166" i="1"/>
  <c r="I154" i="1"/>
  <c r="I150" i="1"/>
  <c r="I142" i="1"/>
  <c r="I130" i="1"/>
  <c r="I138" i="1" l="1"/>
  <c r="I134" i="1"/>
  <c r="I140" i="1"/>
  <c r="I127" i="1"/>
  <c r="I552" i="1" l="1"/>
  <c r="G552" i="1"/>
  <c r="E552" i="1"/>
  <c r="D552" i="1"/>
  <c r="I549" i="1"/>
  <c r="E549" i="1"/>
  <c r="D549" i="1"/>
  <c r="F551" i="1"/>
  <c r="H551" i="1" s="1"/>
  <c r="F548" i="1"/>
  <c r="E513" i="1"/>
  <c r="F513" i="1" s="1"/>
  <c r="H513" i="1" s="1"/>
  <c r="J513" i="1" s="1"/>
  <c r="D351" i="1"/>
  <c r="J548" i="1" l="1"/>
  <c r="G548" i="1"/>
  <c r="G549" i="1" s="1"/>
  <c r="D554" i="1"/>
  <c r="D98" i="1"/>
  <c r="D109" i="1"/>
  <c r="E554" i="1"/>
  <c r="E109" i="1"/>
  <c r="E98" i="1"/>
  <c r="I554" i="1"/>
  <c r="I109" i="1"/>
  <c r="I98" i="1"/>
  <c r="F552" i="1"/>
  <c r="H552" i="1" s="1"/>
  <c r="J552" i="1" s="1"/>
  <c r="J551" i="1"/>
  <c r="F549" i="1"/>
  <c r="F98" i="1" l="1"/>
  <c r="F109" i="1"/>
  <c r="G554" i="1"/>
  <c r="G109" i="1"/>
  <c r="G98" i="1"/>
  <c r="F554" i="1"/>
  <c r="H549" i="1"/>
  <c r="H98" i="1" l="1"/>
  <c r="H109" i="1"/>
  <c r="J549" i="1"/>
  <c r="H554" i="1"/>
  <c r="J554" i="1" l="1"/>
  <c r="J98" i="1"/>
  <c r="J109" i="1"/>
  <c r="I245" i="1"/>
  <c r="H245" i="1"/>
  <c r="E245" i="1"/>
  <c r="D245" i="1"/>
  <c r="J244" i="1"/>
  <c r="F244" i="1"/>
  <c r="G244" i="1" s="1"/>
  <c r="H240" i="1"/>
  <c r="F245" i="1" l="1"/>
  <c r="G245" i="1" s="1"/>
  <c r="J245" i="1"/>
  <c r="I190" i="1" l="1"/>
  <c r="I54" i="1" s="1"/>
  <c r="H190" i="1"/>
  <c r="E190" i="1"/>
  <c r="D190" i="1"/>
  <c r="J189" i="1"/>
  <c r="F189" i="1"/>
  <c r="G189" i="1" s="1"/>
  <c r="H171" i="1"/>
  <c r="H167" i="1"/>
  <c r="H163" i="1"/>
  <c r="J190" i="1" l="1"/>
  <c r="F190" i="1"/>
  <c r="G190" i="1" s="1"/>
  <c r="E140" i="1"/>
  <c r="E136" i="1"/>
  <c r="D920" i="1" l="1"/>
  <c r="D929" i="1"/>
  <c r="D904" i="1"/>
  <c r="D901" i="1"/>
  <c r="D897" i="1"/>
  <c r="D882" i="1"/>
  <c r="E804" i="1" l="1"/>
  <c r="F725" i="1"/>
  <c r="H725" i="1" s="1"/>
  <c r="J725" i="1" s="1"/>
  <c r="D723" i="1" l="1"/>
  <c r="D741" i="1" s="1"/>
  <c r="D647" i="1"/>
  <c r="H646" i="1" l="1"/>
  <c r="H647" i="1"/>
  <c r="I647" i="1"/>
  <c r="I646" i="1"/>
  <c r="I648" i="1" s="1"/>
  <c r="D501" i="1"/>
  <c r="E501" i="1" s="1"/>
  <c r="H648" i="1" l="1"/>
  <c r="J648" i="1"/>
  <c r="D330" i="1"/>
  <c r="D285" i="1" l="1"/>
  <c r="D286" i="1" s="1"/>
  <c r="D213" i="1" l="1"/>
  <c r="D125" i="1"/>
  <c r="H213" i="1" l="1"/>
  <c r="H212" i="1"/>
  <c r="I213" i="1"/>
  <c r="I212" i="1"/>
  <c r="H124" i="1"/>
  <c r="H125" i="1"/>
  <c r="J125" i="1" s="1"/>
  <c r="D917" i="1" l="1"/>
  <c r="F917" i="1" s="1"/>
  <c r="F43" i="1" l="1"/>
  <c r="H43" i="1" s="1"/>
  <c r="J43" i="1" s="1"/>
  <c r="I9" i="1" l="1"/>
  <c r="D9" i="1"/>
  <c r="I46" i="1" l="1"/>
  <c r="F46" i="1"/>
  <c r="D46" i="1"/>
  <c r="I187" i="1"/>
  <c r="I56" i="1" s="1"/>
  <c r="H187" i="1"/>
  <c r="H56" i="1" s="1"/>
  <c r="E187" i="1"/>
  <c r="E56" i="1" s="1"/>
  <c r="J56" i="1" l="1"/>
  <c r="F784" i="1"/>
  <c r="D10" i="1" l="1"/>
  <c r="H104" i="1" l="1"/>
  <c r="D104" i="1"/>
  <c r="G9" i="1" l="1"/>
  <c r="H368" i="1" l="1"/>
  <c r="J368" i="1" s="1"/>
  <c r="G46" i="1"/>
  <c r="G494" i="1" l="1"/>
  <c r="G479" i="1" l="1"/>
  <c r="G104" i="1"/>
  <c r="F599" i="1" l="1"/>
  <c r="E581" i="1"/>
  <c r="E478" i="1"/>
  <c r="E104" i="1" s="1"/>
  <c r="J799" i="1" l="1"/>
  <c r="J802" i="1" s="1"/>
  <c r="J803" i="1" s="1"/>
  <c r="G804" i="1"/>
  <c r="H755" i="1" l="1"/>
  <c r="D755" i="1"/>
  <c r="J194" i="1" l="1"/>
  <c r="I258" i="1" l="1"/>
  <c r="H692" i="1"/>
  <c r="H94" i="1" l="1"/>
  <c r="I94" i="1"/>
  <c r="I703" i="1" l="1"/>
  <c r="F702" i="1"/>
  <c r="D96" i="1" l="1"/>
  <c r="F93" i="1"/>
  <c r="H93" i="1"/>
  <c r="I93" i="1"/>
  <c r="D93" i="1"/>
  <c r="D91" i="1"/>
  <c r="H372" i="1"/>
  <c r="F373" i="1"/>
  <c r="F502" i="1" l="1"/>
  <c r="F505" i="1" s="1"/>
  <c r="J502" i="1"/>
  <c r="G91" i="1" l="1"/>
  <c r="G10" i="1"/>
  <c r="H371" i="1"/>
  <c r="G502" i="1"/>
  <c r="H91" i="1" l="1"/>
  <c r="H10" i="1"/>
  <c r="D353" i="1" l="1"/>
  <c r="I91" i="1" l="1"/>
  <c r="J91" i="1" s="1"/>
  <c r="I451" i="1" l="1"/>
  <c r="D373" i="1" l="1"/>
  <c r="D72" i="1" s="1"/>
  <c r="I373" i="1"/>
  <c r="E372" i="1"/>
  <c r="J372" i="1"/>
  <c r="E373" i="1" l="1"/>
  <c r="F217" i="1" l="1"/>
  <c r="F210" i="1"/>
  <c r="I106" i="1" l="1"/>
  <c r="I107" i="1"/>
  <c r="H107" i="1"/>
  <c r="D107" i="1"/>
  <c r="F99" i="1"/>
  <c r="G99" i="1"/>
  <c r="I99" i="1"/>
  <c r="D99" i="1"/>
  <c r="I96" i="1"/>
  <c r="I95" i="1"/>
  <c r="F96" i="1"/>
  <c r="H96" i="1"/>
  <c r="D95" i="1"/>
  <c r="J96" i="1" l="1"/>
  <c r="E506" i="1"/>
  <c r="G93" i="1"/>
  <c r="F41" i="1"/>
  <c r="H41" i="1" s="1"/>
  <c r="J41" i="1" s="1"/>
  <c r="F42" i="1"/>
  <c r="H42" i="1" s="1"/>
  <c r="J42" i="1" s="1"/>
  <c r="F94" i="1" l="1"/>
  <c r="E96" i="1"/>
  <c r="E107" i="1"/>
  <c r="F664" i="1" l="1"/>
  <c r="G664" i="1" s="1"/>
  <c r="J664" i="1"/>
  <c r="F230" i="1" l="1"/>
  <c r="G230" i="1" s="1"/>
  <c r="J230" i="1"/>
  <c r="I175" i="1" l="1"/>
  <c r="H175" i="1"/>
  <c r="E175" i="1"/>
  <c r="D175" i="1"/>
  <c r="J174" i="1"/>
  <c r="F174" i="1"/>
  <c r="G174" i="1" s="1"/>
  <c r="H164" i="1"/>
  <c r="J175" i="1" l="1"/>
  <c r="F175" i="1"/>
  <c r="G175" i="1" s="1"/>
  <c r="F719" i="1" l="1"/>
  <c r="G719" i="1" s="1"/>
  <c r="E723" i="1" l="1"/>
  <c r="I631" i="1"/>
  <c r="E353" i="1" l="1"/>
  <c r="F352" i="1"/>
  <c r="H352" i="1" s="1"/>
  <c r="J352" i="1" s="1"/>
  <c r="F350" i="1"/>
  <c r="H350" i="1" s="1"/>
  <c r="J350" i="1" s="1"/>
  <c r="I330" i="1" l="1"/>
  <c r="G330" i="1"/>
  <c r="G64" i="1" s="1"/>
  <c r="H326" i="1"/>
  <c r="J326" i="1" s="1"/>
  <c r="E322" i="1"/>
  <c r="F278" i="1" l="1"/>
  <c r="H278" i="1" s="1"/>
  <c r="F745" i="1" l="1"/>
  <c r="F632" i="1" l="1"/>
  <c r="H632" i="1" s="1"/>
  <c r="F744" i="1"/>
  <c r="H744" i="1" s="1"/>
  <c r="G611" i="1"/>
  <c r="I597" i="1"/>
  <c r="I494" i="1"/>
  <c r="I483" i="1"/>
  <c r="I468" i="1"/>
  <c r="I456" i="1"/>
  <c r="I424" i="1"/>
  <c r="G424" i="1"/>
  <c r="G420" i="1" l="1"/>
  <c r="F155" i="1" l="1"/>
  <c r="G155" i="1" s="1"/>
  <c r="F151" i="1"/>
  <c r="G151" i="1" s="1"/>
  <c r="F147" i="1"/>
  <c r="G147" i="1" s="1"/>
  <c r="F143" i="1"/>
  <c r="G143" i="1" s="1"/>
  <c r="F140" i="1"/>
  <c r="G140" i="1" s="1"/>
  <c r="F139" i="1"/>
  <c r="G139" i="1" s="1"/>
  <c r="F131" i="1"/>
  <c r="G131" i="1" s="1"/>
  <c r="H134" i="1"/>
  <c r="D134" i="1"/>
  <c r="F136" i="1"/>
  <c r="G136" i="1" s="1"/>
  <c r="F138" i="1" l="1"/>
  <c r="D164" i="1" l="1"/>
  <c r="D138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H127" i="1" l="1"/>
  <c r="H54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E93" i="1"/>
  <c r="G94" i="1" l="1"/>
  <c r="E799" i="1"/>
  <c r="D891" i="1"/>
  <c r="D843" i="1"/>
  <c r="D842" i="1"/>
  <c r="D648" i="1"/>
  <c r="F512" i="1"/>
  <c r="H512" i="1" s="1"/>
  <c r="J512" i="1" s="1"/>
  <c r="E94" i="1" l="1"/>
  <c r="D505" i="1"/>
  <c r="E505" i="1" s="1"/>
  <c r="D94" i="1"/>
  <c r="E368" i="1"/>
  <c r="F559" i="1" l="1"/>
  <c r="D544" i="1"/>
  <c r="I544" i="1"/>
  <c r="G544" i="1"/>
  <c r="E544" i="1"/>
  <c r="F542" i="1"/>
  <c r="H542" i="1" s="1"/>
  <c r="J542" i="1" s="1"/>
  <c r="F544" i="1" l="1"/>
  <c r="H544" i="1" s="1"/>
  <c r="J544" i="1" s="1"/>
  <c r="G435" i="1" l="1"/>
  <c r="F477" i="1"/>
  <c r="D407" i="1" l="1"/>
  <c r="E402" i="1"/>
  <c r="F376" i="1"/>
  <c r="H376" i="1" s="1"/>
  <c r="F356" i="1"/>
  <c r="H356" i="1" s="1"/>
  <c r="J356" i="1" s="1"/>
  <c r="E369" i="1"/>
  <c r="J376" i="1" l="1"/>
  <c r="H369" i="1"/>
  <c r="H338" i="1"/>
  <c r="H311" i="1"/>
  <c r="H309" i="1"/>
  <c r="H286" i="1"/>
  <c r="H290" i="1" s="1"/>
  <c r="H63" i="1" s="1"/>
  <c r="H268" i="1"/>
  <c r="H258" i="1"/>
  <c r="H224" i="1"/>
  <c r="H204" i="1"/>
  <c r="H172" i="1"/>
  <c r="H168" i="1"/>
  <c r="H158" i="1"/>
  <c r="H154" i="1"/>
  <c r="H150" i="1"/>
  <c r="H146" i="1"/>
  <c r="H142" i="1"/>
  <c r="H138" i="1"/>
  <c r="G138" i="1" s="1"/>
  <c r="H130" i="1"/>
  <c r="H119" i="1"/>
  <c r="H30" i="1"/>
  <c r="H82" i="1"/>
  <c r="H20" i="1" s="1"/>
  <c r="H384" i="1"/>
  <c r="H385" i="1"/>
  <c r="H658" i="1"/>
  <c r="H81" i="1"/>
  <c r="H19" i="1" s="1"/>
  <c r="H770" i="1"/>
  <c r="H771" i="1"/>
  <c r="H779" i="1"/>
  <c r="H802" i="1"/>
  <c r="H803" i="1" s="1"/>
  <c r="H812" i="1"/>
  <c r="H842" i="1" s="1"/>
  <c r="H841" i="1"/>
  <c r="H865" i="1"/>
  <c r="H206" i="1" l="1"/>
  <c r="J369" i="1"/>
  <c r="H60" i="1"/>
  <c r="H57" i="1"/>
  <c r="H674" i="1"/>
  <c r="H694" i="1" s="1"/>
  <c r="H55" i="1"/>
  <c r="H53" i="1"/>
  <c r="H697" i="1" l="1"/>
  <c r="H58" i="1"/>
  <c r="H77" i="1" l="1"/>
  <c r="H15" i="1" s="1"/>
  <c r="D154" i="1" l="1"/>
  <c r="D150" i="1"/>
  <c r="D146" i="1"/>
  <c r="D142" i="1"/>
  <c r="D130" i="1"/>
  <c r="D187" i="1"/>
  <c r="D56" i="1" s="1"/>
  <c r="I214" i="1" l="1"/>
  <c r="J212" i="1"/>
  <c r="H214" i="1"/>
  <c r="J213" i="1"/>
  <c r="H262" i="1" l="1"/>
  <c r="H271" i="1" s="1"/>
  <c r="H275" i="1" s="1"/>
  <c r="J214" i="1"/>
  <c r="F646" i="1"/>
  <c r="G646" i="1" s="1"/>
  <c r="J646" i="1"/>
  <c r="F212" i="1"/>
  <c r="G212" i="1" s="1"/>
  <c r="J124" i="1"/>
  <c r="H59" i="1" l="1"/>
  <c r="H61" i="1" s="1"/>
  <c r="F124" i="1"/>
  <c r="G124" i="1" s="1"/>
  <c r="J874" i="1" l="1"/>
  <c r="F874" i="1"/>
  <c r="G874" i="1" s="1"/>
  <c r="D507" i="1" l="1"/>
  <c r="D515" i="1" s="1"/>
  <c r="J501" i="1" l="1"/>
  <c r="E119" i="1" l="1"/>
  <c r="E127" i="1"/>
  <c r="E54" i="1" s="1"/>
  <c r="E132" i="1"/>
  <c r="F132" i="1" s="1"/>
  <c r="G132" i="1" s="1"/>
  <c r="E144" i="1"/>
  <c r="F144" i="1" s="1"/>
  <c r="G144" i="1" s="1"/>
  <c r="E148" i="1"/>
  <c r="F148" i="1" s="1"/>
  <c r="G148" i="1" s="1"/>
  <c r="E152" i="1"/>
  <c r="F152" i="1" s="1"/>
  <c r="G152" i="1" s="1"/>
  <c r="E156" i="1"/>
  <c r="F156" i="1" s="1"/>
  <c r="G156" i="1" s="1"/>
  <c r="E164" i="1"/>
  <c r="E168" i="1"/>
  <c r="E172" i="1"/>
  <c r="E204" i="1"/>
  <c r="E214" i="1"/>
  <c r="E262" i="1" s="1"/>
  <c r="E224" i="1"/>
  <c r="E240" i="1"/>
  <c r="E258" i="1"/>
  <c r="E268" i="1"/>
  <c r="F154" i="1" l="1"/>
  <c r="G154" i="1" s="1"/>
  <c r="F150" i="1"/>
  <c r="G150" i="1" s="1"/>
  <c r="F146" i="1"/>
  <c r="G146" i="1" s="1"/>
  <c r="F142" i="1"/>
  <c r="G142" i="1" s="1"/>
  <c r="F130" i="1"/>
  <c r="G130" i="1" s="1"/>
  <c r="E271" i="1"/>
  <c r="E158" i="1"/>
  <c r="E206" i="1" s="1"/>
  <c r="E208" i="1" s="1"/>
  <c r="E338" i="1"/>
  <c r="E611" i="1"/>
  <c r="E648" i="1"/>
  <c r="E658" i="1"/>
  <c r="E694" i="1" s="1"/>
  <c r="E692" i="1"/>
  <c r="E674" i="1"/>
  <c r="F682" i="1"/>
  <c r="G682" i="1" s="1"/>
  <c r="F683" i="1"/>
  <c r="E697" i="1" l="1"/>
  <c r="E275" i="1"/>
  <c r="E357" i="1"/>
  <c r="E483" i="1"/>
  <c r="E468" i="1"/>
  <c r="E456" i="1"/>
  <c r="E439" i="1"/>
  <c r="E424" i="1"/>
  <c r="E420" i="1"/>
  <c r="E427" i="1" s="1"/>
  <c r="E435" i="1"/>
  <c r="F490" i="1"/>
  <c r="H490" i="1" s="1"/>
  <c r="E441" i="1" l="1"/>
  <c r="E442" i="1" s="1"/>
  <c r="H105" i="1"/>
  <c r="E371" i="1"/>
  <c r="F507" i="1" l="1"/>
  <c r="E507" i="1"/>
  <c r="E10" i="1"/>
  <c r="E91" i="1"/>
  <c r="D119" i="1" l="1"/>
  <c r="F873" i="1"/>
  <c r="G873" i="1" s="1"/>
  <c r="J873" i="1"/>
  <c r="F870" i="1"/>
  <c r="G870" i="1" s="1"/>
  <c r="D492" i="1"/>
  <c r="D493" i="1" s="1"/>
  <c r="D481" i="1"/>
  <c r="D482" i="1" s="1"/>
  <c r="D466" i="1"/>
  <c r="D467" i="1" s="1"/>
  <c r="D451" i="1"/>
  <c r="D454" i="1"/>
  <c r="D437" i="1"/>
  <c r="D438" i="1" s="1"/>
  <c r="D418" i="1"/>
  <c r="D419" i="1" s="1"/>
  <c r="D433" i="1"/>
  <c r="D434" i="1" s="1"/>
  <c r="D422" i="1"/>
  <c r="D423" i="1" s="1"/>
  <c r="F799" i="1"/>
  <c r="F867" i="1"/>
  <c r="G867" i="1" s="1"/>
  <c r="F866" i="1"/>
  <c r="G866" i="1" s="1"/>
  <c r="F859" i="1"/>
  <c r="G859" i="1" s="1"/>
  <c r="F858" i="1"/>
  <c r="F855" i="1"/>
  <c r="G855" i="1" s="1"/>
  <c r="F852" i="1"/>
  <c r="G852" i="1" s="1"/>
  <c r="F849" i="1"/>
  <c r="G849" i="1" s="1"/>
  <c r="F848" i="1"/>
  <c r="G848" i="1" s="1"/>
  <c r="F843" i="1"/>
  <c r="G843" i="1" s="1"/>
  <c r="F842" i="1"/>
  <c r="G842" i="1" s="1"/>
  <c r="F834" i="1"/>
  <c r="G834" i="1" s="1"/>
  <c r="F833" i="1"/>
  <c r="G833" i="1" s="1"/>
  <c r="F830" i="1"/>
  <c r="G830" i="1" s="1"/>
  <c r="F826" i="1"/>
  <c r="G826" i="1" s="1"/>
  <c r="F822" i="1"/>
  <c r="G822" i="1" s="1"/>
  <c r="F821" i="1"/>
  <c r="G821" i="1" s="1"/>
  <c r="F820" i="1"/>
  <c r="G820" i="1" s="1"/>
  <c r="F814" i="1"/>
  <c r="G814" i="1" s="1"/>
  <c r="F801" i="1"/>
  <c r="G801" i="1" s="1"/>
  <c r="F800" i="1"/>
  <c r="G800" i="1" s="1"/>
  <c r="F794" i="1"/>
  <c r="G794" i="1" s="1"/>
  <c r="F793" i="1"/>
  <c r="G793" i="1" s="1"/>
  <c r="J867" i="1"/>
  <c r="I841" i="1"/>
  <c r="J834" i="1"/>
  <c r="J833" i="1"/>
  <c r="J830" i="1"/>
  <c r="J826" i="1"/>
  <c r="I816" i="1"/>
  <c r="I802" i="1"/>
  <c r="I803" i="1" s="1"/>
  <c r="F454" i="1" l="1"/>
  <c r="D455" i="1"/>
  <c r="D456" i="1" s="1"/>
  <c r="F841" i="1"/>
  <c r="G799" i="1"/>
  <c r="G802" i="1" s="1"/>
  <c r="G803" i="1" s="1"/>
  <c r="D420" i="1"/>
  <c r="F420" i="1" s="1"/>
  <c r="H420" i="1" s="1"/>
  <c r="J420" i="1" s="1"/>
  <c r="D424" i="1"/>
  <c r="D494" i="1"/>
  <c r="D435" i="1"/>
  <c r="D439" i="1"/>
  <c r="D468" i="1"/>
  <c r="D483" i="1"/>
  <c r="D158" i="1"/>
  <c r="F289" i="1"/>
  <c r="F288" i="1"/>
  <c r="G288" i="1" s="1"/>
  <c r="F285" i="1"/>
  <c r="G285" i="1" s="1"/>
  <c r="F284" i="1"/>
  <c r="G284" i="1" s="1"/>
  <c r="F348" i="1"/>
  <c r="G348" i="1" s="1"/>
  <c r="F351" i="1"/>
  <c r="F355" i="1"/>
  <c r="H355" i="1" s="1"/>
  <c r="J355" i="1" l="1"/>
  <c r="H351" i="1"/>
  <c r="J351" i="1" s="1"/>
  <c r="H348" i="1"/>
  <c r="J348" i="1" s="1"/>
  <c r="E323" i="1"/>
  <c r="E321" i="1" s="1"/>
  <c r="E295" i="1"/>
  <c r="I692" i="1" l="1"/>
  <c r="I601" i="1"/>
  <c r="F600" i="1"/>
  <c r="H600" i="1" s="1"/>
  <c r="J600" i="1" l="1"/>
  <c r="D905" i="1"/>
  <c r="I10" i="1"/>
  <c r="J10" i="1" s="1"/>
  <c r="I25" i="1"/>
  <c r="I30" i="1"/>
  <c r="I62" i="1"/>
  <c r="I64" i="1"/>
  <c r="I80" i="1"/>
  <c r="I18" i="1" s="1"/>
  <c r="I82" i="1"/>
  <c r="I20" i="1" s="1"/>
  <c r="I92" i="1"/>
  <c r="I103" i="1"/>
  <c r="I105" i="1"/>
  <c r="I110" i="1"/>
  <c r="I111" i="1"/>
  <c r="J127" i="1"/>
  <c r="J54" i="1" s="1"/>
  <c r="I132" i="1"/>
  <c r="J132" i="1" s="1"/>
  <c r="I136" i="1"/>
  <c r="I144" i="1"/>
  <c r="I148" i="1"/>
  <c r="I152" i="1"/>
  <c r="I156" i="1"/>
  <c r="I164" i="1"/>
  <c r="I168" i="1"/>
  <c r="I172" i="1"/>
  <c r="I204" i="1"/>
  <c r="I57" i="1" s="1"/>
  <c r="J57" i="1" s="1"/>
  <c r="I224" i="1"/>
  <c r="I240" i="1"/>
  <c r="I268" i="1"/>
  <c r="I286" i="1"/>
  <c r="I290" i="1" s="1"/>
  <c r="I63" i="1" s="1"/>
  <c r="I307" i="1"/>
  <c r="I308" i="1" s="1"/>
  <c r="I309" i="1" s="1"/>
  <c r="I312" i="1" s="1"/>
  <c r="I65" i="1" s="1"/>
  <c r="I353" i="1"/>
  <c r="I357" i="1" s="1"/>
  <c r="I66" i="1" s="1"/>
  <c r="I363" i="1"/>
  <c r="I67" i="1" s="1"/>
  <c r="I72" i="1"/>
  <c r="I395" i="1"/>
  <c r="I407" i="1"/>
  <c r="I427" i="1"/>
  <c r="I441" i="1"/>
  <c r="I459" i="1"/>
  <c r="I470" i="1"/>
  <c r="I479" i="1"/>
  <c r="I496" i="1"/>
  <c r="I505" i="1"/>
  <c r="I507" i="1" s="1"/>
  <c r="I528" i="1"/>
  <c r="I569" i="1"/>
  <c r="I581" i="1"/>
  <c r="I590" i="1"/>
  <c r="I636" i="1"/>
  <c r="I674" i="1"/>
  <c r="I694" i="1" s="1"/>
  <c r="I723" i="1"/>
  <c r="I755" i="1"/>
  <c r="I81" i="1" s="1"/>
  <c r="I19" i="1" s="1"/>
  <c r="I776" i="1"/>
  <c r="I847" i="1"/>
  <c r="I865" i="1" s="1"/>
  <c r="J865" i="1" s="1"/>
  <c r="I906" i="1"/>
  <c r="I1066" i="1"/>
  <c r="I1070" i="1" s="1"/>
  <c r="I262" i="1" l="1"/>
  <c r="I741" i="1"/>
  <c r="I79" i="1" s="1"/>
  <c r="I53" i="1"/>
  <c r="I471" i="1"/>
  <c r="I409" i="1"/>
  <c r="I73" i="1" s="1"/>
  <c r="I11" i="1" s="1"/>
  <c r="I158" i="1"/>
  <c r="I206" i="1" s="1"/>
  <c r="I442" i="1"/>
  <c r="I582" i="1"/>
  <c r="I538" i="1"/>
  <c r="I486" i="1"/>
  <c r="I497" i="1" s="1"/>
  <c r="I515" i="1"/>
  <c r="I60" i="1"/>
  <c r="I97" i="1"/>
  <c r="I100" i="1" s="1"/>
  <c r="I104" i="1"/>
  <c r="J104" i="1" s="1"/>
  <c r="I59" i="1" l="1"/>
  <c r="I55" i="1"/>
  <c r="I17" i="1"/>
  <c r="I775" i="1"/>
  <c r="I517" i="1"/>
  <c r="I640" i="1" s="1"/>
  <c r="I411" i="1"/>
  <c r="I74" i="1"/>
  <c r="I769" i="1" s="1"/>
  <c r="I271" i="1"/>
  <c r="J206" i="1" l="1"/>
  <c r="I58" i="1"/>
  <c r="J58" i="1" s="1"/>
  <c r="I76" i="1"/>
  <c r="I12" i="1"/>
  <c r="I275" i="1"/>
  <c r="I292" i="1" s="1"/>
  <c r="I317" i="1" s="1"/>
  <c r="I365" i="1" s="1"/>
  <c r="I61" i="1" l="1"/>
  <c r="I68" i="1" s="1"/>
  <c r="I102" i="1"/>
  <c r="I108" i="1" s="1"/>
  <c r="I112" i="1" s="1"/>
  <c r="I772" i="1"/>
  <c r="I14" i="1"/>
  <c r="I314" i="1"/>
  <c r="D841" i="1"/>
  <c r="J849" i="1"/>
  <c r="F811" i="1"/>
  <c r="I6" i="1" l="1"/>
  <c r="I32" i="1" s="1"/>
  <c r="G841" i="1"/>
  <c r="G811" i="1"/>
  <c r="H811" i="1" s="1"/>
  <c r="H816" i="1" s="1"/>
  <c r="I697" i="1"/>
  <c r="I705" i="1" s="1"/>
  <c r="F802" i="1"/>
  <c r="F803" i="1" s="1"/>
  <c r="D813" i="1"/>
  <c r="F813" i="1" s="1"/>
  <c r="G813" i="1" s="1"/>
  <c r="D812" i="1"/>
  <c r="F812" i="1" s="1"/>
  <c r="G812" i="1" s="1"/>
  <c r="D811" i="1"/>
  <c r="J822" i="1"/>
  <c r="D802" i="1"/>
  <c r="D803" i="1" s="1"/>
  <c r="D692" i="1"/>
  <c r="D816" i="1" l="1"/>
  <c r="F816" i="1"/>
  <c r="I77" i="1"/>
  <c r="I78" i="1"/>
  <c r="E803" i="1"/>
  <c r="E802" i="1"/>
  <c r="D611" i="1"/>
  <c r="F611" i="1" s="1"/>
  <c r="E510" i="1"/>
  <c r="E370" i="1"/>
  <c r="F266" i="1"/>
  <c r="G266" i="1" s="1"/>
  <c r="E514" i="1" l="1"/>
  <c r="E46" i="1"/>
  <c r="E9" i="1"/>
  <c r="F510" i="1"/>
  <c r="H510" i="1" s="1"/>
  <c r="E515" i="1"/>
  <c r="I16" i="1"/>
  <c r="I774" i="1"/>
  <c r="I773" i="1"/>
  <c r="I15" i="1"/>
  <c r="F514" i="1" l="1"/>
  <c r="H514" i="1" s="1"/>
  <c r="J514" i="1" s="1"/>
  <c r="I777" i="1"/>
  <c r="G373" i="1" l="1"/>
  <c r="H370" i="1"/>
  <c r="H9" i="1" s="1"/>
  <c r="E395" i="1"/>
  <c r="J370" i="1" l="1"/>
  <c r="H46" i="1"/>
  <c r="H373" i="1"/>
  <c r="H72" i="1" s="1"/>
  <c r="G105" i="1" l="1"/>
  <c r="D105" i="1"/>
  <c r="D106" i="1"/>
  <c r="F10" i="1"/>
  <c r="G72" i="1" l="1"/>
  <c r="F616" i="1" l="1"/>
  <c r="H616" i="1" s="1"/>
  <c r="F615" i="1"/>
  <c r="H615" i="1" s="1"/>
  <c r="F614" i="1"/>
  <c r="H614" i="1" s="1"/>
  <c r="J616" i="1" l="1"/>
  <c r="J614" i="1"/>
  <c r="J615" i="1"/>
  <c r="J821" i="1"/>
  <c r="E106" i="1" l="1"/>
  <c r="F106" i="1" s="1"/>
  <c r="E95" i="1"/>
  <c r="F95" i="1" s="1"/>
  <c r="J235" i="1" l="1"/>
  <c r="J234" i="1"/>
  <c r="J233" i="1"/>
  <c r="J232" i="1"/>
  <c r="J231" i="1"/>
  <c r="J229" i="1"/>
  <c r="J228" i="1"/>
  <c r="F162" i="1"/>
  <c r="G162" i="1" s="1"/>
  <c r="J162" i="1"/>
  <c r="J371" i="1" l="1"/>
  <c r="D427" i="1" l="1"/>
  <c r="H477" i="1" l="1"/>
  <c r="F286" i="1"/>
  <c r="G597" i="1" l="1"/>
  <c r="G601" i="1" s="1"/>
  <c r="E597" i="1"/>
  <c r="J266" i="1"/>
  <c r="F87" i="1"/>
  <c r="H87" i="1" s="1"/>
  <c r="H25" i="1" s="1"/>
  <c r="F911" i="1"/>
  <c r="H911" i="1" s="1"/>
  <c r="G210" i="1"/>
  <c r="F211" i="1"/>
  <c r="G211" i="1" s="1"/>
  <c r="F213" i="1"/>
  <c r="G213" i="1" s="1"/>
  <c r="E601" i="1" l="1"/>
  <c r="F597" i="1"/>
  <c r="F360" i="1"/>
  <c r="H360" i="1" s="1"/>
  <c r="F345" i="1"/>
  <c r="F353" i="1"/>
  <c r="H345" i="1" l="1"/>
  <c r="G702" i="1"/>
  <c r="F685" i="1"/>
  <c r="G685" i="1" s="1"/>
  <c r="D631" i="1"/>
  <c r="D636" i="1" s="1"/>
  <c r="F711" i="1" l="1"/>
  <c r="J345" i="1"/>
  <c r="E105" i="1"/>
  <c r="F105" i="1" s="1"/>
  <c r="F633" i="1"/>
  <c r="H633" i="1" s="1"/>
  <c r="F634" i="1"/>
  <c r="H634" i="1" s="1"/>
  <c r="E407" i="1" l="1"/>
  <c r="F405" i="1"/>
  <c r="F406" i="1"/>
  <c r="F392" i="1"/>
  <c r="H392" i="1" s="1"/>
  <c r="F383" i="1"/>
  <c r="H383" i="1" s="1"/>
  <c r="D363" i="1"/>
  <c r="D309" i="1"/>
  <c r="D290" i="1"/>
  <c r="J843" i="1"/>
  <c r="J842" i="1"/>
  <c r="J813" i="1"/>
  <c r="E755" i="1"/>
  <c r="F754" i="1"/>
  <c r="G754" i="1" s="1"/>
  <c r="F753" i="1"/>
  <c r="G753" i="1" s="1"/>
  <c r="H406" i="1" l="1"/>
  <c r="J406" i="1" s="1"/>
  <c r="H405" i="1"/>
  <c r="J405" i="1" s="1"/>
  <c r="F755" i="1"/>
  <c r="G755" i="1" s="1"/>
  <c r="J754" i="1"/>
  <c r="J753" i="1"/>
  <c r="J755" i="1" l="1"/>
  <c r="F595" i="1" l="1"/>
  <c r="H595" i="1" s="1"/>
  <c r="H511" i="1"/>
  <c r="D479" i="1"/>
  <c r="H450" i="1"/>
  <c r="G111" i="1"/>
  <c r="E111" i="1"/>
  <c r="D111" i="1"/>
  <c r="G110" i="1"/>
  <c r="D110" i="1"/>
  <c r="J450" i="1" l="1"/>
  <c r="J511" i="1"/>
  <c r="J478" i="1"/>
  <c r="J93" i="1" s="1"/>
  <c r="J595" i="1"/>
  <c r="J510" i="1"/>
  <c r="J503" i="1" l="1"/>
  <c r="J94" i="1" s="1"/>
  <c r="G590" i="1" l="1"/>
  <c r="E363" i="1" l="1"/>
  <c r="G30" i="1" l="1"/>
  <c r="G359" i="1"/>
  <c r="G364" i="1"/>
  <c r="G439" i="1"/>
  <c r="G456" i="1"/>
  <c r="G459" i="1" s="1"/>
  <c r="G468" i="1"/>
  <c r="G470" i="1" s="1"/>
  <c r="G471" i="1" s="1"/>
  <c r="G483" i="1"/>
  <c r="G486" i="1" s="1"/>
  <c r="G496" i="1"/>
  <c r="G528" i="1"/>
  <c r="G536" i="1"/>
  <c r="G581" i="1"/>
  <c r="H611" i="1"/>
  <c r="G631" i="1"/>
  <c r="G847" i="1"/>
  <c r="G865" i="1" s="1"/>
  <c r="G497" i="1" l="1"/>
  <c r="G636" i="1"/>
  <c r="G538" i="1"/>
  <c r="G441" i="1"/>
  <c r="G582" i="1"/>
  <c r="F111" i="1"/>
  <c r="J134" i="1" l="1"/>
  <c r="J138" i="1"/>
  <c r="J142" i="1"/>
  <c r="J146" i="1"/>
  <c r="J150" i="1"/>
  <c r="J154" i="1"/>
  <c r="F354" i="1"/>
  <c r="D103" i="1"/>
  <c r="H354" i="1" l="1"/>
  <c r="J354" i="1" s="1"/>
  <c r="E30" i="1" l="1"/>
  <c r="E703" i="1"/>
  <c r="F703" i="1" s="1"/>
  <c r="E705" i="1" l="1"/>
  <c r="E82" i="1"/>
  <c r="E81" i="1"/>
  <c r="E78" i="1"/>
  <c r="E77" i="1"/>
  <c r="E747" i="1"/>
  <c r="E80" i="1" s="1"/>
  <c r="J46" i="1" l="1"/>
  <c r="J373" i="1"/>
  <c r="E494" i="1"/>
  <c r="E496" i="1" s="1"/>
  <c r="E631" i="1"/>
  <c r="E636" i="1" s="1"/>
  <c r="J381" i="1" l="1"/>
  <c r="D381" i="1"/>
  <c r="E380" i="1"/>
  <c r="F380" i="1" s="1"/>
  <c r="E379" i="1"/>
  <c r="F379" i="1" s="1"/>
  <c r="H379" i="1" l="1"/>
  <c r="J379" i="1" s="1"/>
  <c r="H380" i="1"/>
  <c r="J380" i="1" s="1"/>
  <c r="E381" i="1"/>
  <c r="E409" i="1" s="1"/>
  <c r="F381" i="1" l="1"/>
  <c r="J30" i="1" l="1"/>
  <c r="F739" i="1"/>
  <c r="G739" i="1" s="1"/>
  <c r="F738" i="1"/>
  <c r="F734" i="1"/>
  <c r="F730" i="1"/>
  <c r="F727" i="1"/>
  <c r="H727" i="1" s="1"/>
  <c r="J727" i="1" s="1"/>
  <c r="F722" i="1"/>
  <c r="G722" i="1" s="1"/>
  <c r="F721" i="1"/>
  <c r="G721" i="1" s="1"/>
  <c r="F720" i="1"/>
  <c r="G720" i="1" s="1"/>
  <c r="F718" i="1"/>
  <c r="G718" i="1" s="1"/>
  <c r="F717" i="1"/>
  <c r="G717" i="1" s="1"/>
  <c r="H738" i="1" l="1"/>
  <c r="F628" i="1"/>
  <c r="H628" i="1" s="1"/>
  <c r="F629" i="1"/>
  <c r="H629" i="1" s="1"/>
  <c r="F630" i="1"/>
  <c r="H630" i="1" s="1"/>
  <c r="H604" i="1"/>
  <c r="J604" i="1" s="1"/>
  <c r="E582" i="1" l="1"/>
  <c r="E536" i="1"/>
  <c r="E470" i="1"/>
  <c r="E103" i="1" l="1"/>
  <c r="F103" i="1" s="1"/>
  <c r="D1032" i="1"/>
  <c r="D1024" i="1"/>
  <c r="D1015" i="1"/>
  <c r="D1003" i="1"/>
  <c r="D987" i="1"/>
  <c r="D979" i="1"/>
  <c r="D954" i="1"/>
  <c r="D944" i="1"/>
  <c r="D931" i="1"/>
  <c r="D966" i="1"/>
  <c r="D1066" i="1"/>
  <c r="F30" i="1"/>
  <c r="E779" i="1"/>
  <c r="F847" i="1"/>
  <c r="F865" i="1" s="1"/>
  <c r="F737" i="1" l="1"/>
  <c r="H737" i="1" s="1"/>
  <c r="E741" i="1"/>
  <c r="E79" i="1" s="1"/>
  <c r="E17" i="1" s="1"/>
  <c r="D955" i="1"/>
  <c r="D989" i="1"/>
  <c r="D1016" i="1"/>
  <c r="E811" i="1"/>
  <c r="E816" i="1" s="1"/>
  <c r="E841" i="1"/>
  <c r="D932" i="1"/>
  <c r="D747" i="1" l="1"/>
  <c r="F723" i="1"/>
  <c r="D674" i="1"/>
  <c r="D658" i="1"/>
  <c r="D590" i="1"/>
  <c r="D581" i="1"/>
  <c r="D569" i="1"/>
  <c r="D536" i="1"/>
  <c r="D486" i="1"/>
  <c r="D528" i="1"/>
  <c r="D694" i="1" l="1"/>
  <c r="D538" i="1"/>
  <c r="D582" i="1"/>
  <c r="D441" i="1"/>
  <c r="D79" i="1"/>
  <c r="D775" i="1" s="1"/>
  <c r="D496" i="1"/>
  <c r="D395" i="1"/>
  <c r="D409" i="1" s="1"/>
  <c r="F265" i="1"/>
  <c r="G265" i="1" s="1"/>
  <c r="F260" i="1"/>
  <c r="G260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29" i="1"/>
  <c r="G229" i="1" s="1"/>
  <c r="F228" i="1"/>
  <c r="G228" i="1" s="1"/>
  <c r="F227" i="1"/>
  <c r="G227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G217" i="1"/>
  <c r="D338" i="1"/>
  <c r="D357" i="1" s="1"/>
  <c r="F357" i="1" s="1"/>
  <c r="E304" i="1"/>
  <c r="E305" i="1"/>
  <c r="E306" i="1"/>
  <c r="E307" i="1"/>
  <c r="E308" i="1"/>
  <c r="E303" i="1"/>
  <c r="D301" i="1"/>
  <c r="D280" i="1"/>
  <c r="J276" i="1"/>
  <c r="E328" i="1"/>
  <c r="E329" i="1"/>
  <c r="J337" i="1"/>
  <c r="J336" i="1"/>
  <c r="J306" i="1"/>
  <c r="J305" i="1"/>
  <c r="J304" i="1"/>
  <c r="J295" i="1"/>
  <c r="J278" i="1"/>
  <c r="E298" i="1" l="1"/>
  <c r="E297" i="1"/>
  <c r="E299" i="1"/>
  <c r="E300" i="1"/>
  <c r="D697" i="1"/>
  <c r="F697" i="1" s="1"/>
  <c r="G697" i="1" s="1"/>
  <c r="F409" i="1"/>
  <c r="D73" i="1"/>
  <c r="E330" i="1"/>
  <c r="F330" i="1" s="1"/>
  <c r="E309" i="1"/>
  <c r="D705" i="1"/>
  <c r="D77" i="1"/>
  <c r="J338" i="1"/>
  <c r="F407" i="1"/>
  <c r="D312" i="1"/>
  <c r="D497" i="1"/>
  <c r="D411" i="1"/>
  <c r="J307" i="1"/>
  <c r="J308" i="1" l="1"/>
  <c r="J309" i="1" l="1"/>
  <c r="E92" i="1" l="1"/>
  <c r="E73" i="1"/>
  <c r="E11" i="1" s="1"/>
  <c r="E67" i="1"/>
  <c r="E66" i="1"/>
  <c r="E64" i="1"/>
  <c r="E62" i="1"/>
  <c r="E60" i="1"/>
  <c r="E59" i="1"/>
  <c r="E58" i="1"/>
  <c r="E57" i="1"/>
  <c r="E55" i="1"/>
  <c r="E53" i="1"/>
  <c r="E20" i="1"/>
  <c r="E19" i="1"/>
  <c r="E18" i="1"/>
  <c r="E16" i="1"/>
  <c r="E15" i="1"/>
  <c r="J115" i="1"/>
  <c r="J116" i="1"/>
  <c r="J117" i="1"/>
  <c r="J122" i="1"/>
  <c r="J123" i="1"/>
  <c r="J131" i="1"/>
  <c r="J133" i="1"/>
  <c r="J135" i="1"/>
  <c r="J137" i="1"/>
  <c r="J139" i="1"/>
  <c r="J141" i="1"/>
  <c r="J143" i="1"/>
  <c r="J147" i="1"/>
  <c r="J151" i="1"/>
  <c r="J155" i="1"/>
  <c r="J163" i="1"/>
  <c r="J167" i="1"/>
  <c r="J171" i="1"/>
  <c r="J177" i="1"/>
  <c r="J178" i="1"/>
  <c r="J179" i="1"/>
  <c r="J180" i="1"/>
  <c r="J181" i="1"/>
  <c r="J182" i="1"/>
  <c r="J183" i="1"/>
  <c r="J184" i="1"/>
  <c r="J185" i="1"/>
  <c r="J193" i="1"/>
  <c r="J195" i="1"/>
  <c r="J196" i="1"/>
  <c r="J197" i="1"/>
  <c r="J198" i="1"/>
  <c r="J199" i="1"/>
  <c r="J200" i="1"/>
  <c r="J201" i="1"/>
  <c r="J202" i="1"/>
  <c r="J210" i="1"/>
  <c r="J211" i="1"/>
  <c r="J217" i="1"/>
  <c r="J218" i="1"/>
  <c r="J219" i="1"/>
  <c r="J220" i="1"/>
  <c r="J221" i="1"/>
  <c r="J222" i="1"/>
  <c r="J223" i="1"/>
  <c r="J227" i="1"/>
  <c r="J236" i="1"/>
  <c r="J237" i="1"/>
  <c r="J238" i="1"/>
  <c r="J239" i="1"/>
  <c r="J248" i="1"/>
  <c r="J249" i="1"/>
  <c r="J250" i="1"/>
  <c r="J251" i="1"/>
  <c r="J252" i="1"/>
  <c r="J253" i="1"/>
  <c r="J254" i="1"/>
  <c r="J255" i="1"/>
  <c r="J256" i="1"/>
  <c r="J257" i="1"/>
  <c r="J260" i="1"/>
  <c r="J273" i="1"/>
  <c r="J274" i="1"/>
  <c r="J838" i="1"/>
  <c r="J881" i="1"/>
  <c r="J885" i="1"/>
  <c r="J896" i="1"/>
  <c r="J900" i="1"/>
  <c r="J926" i="1"/>
  <c r="J938" i="1"/>
  <c r="J949" i="1"/>
  <c r="E61" i="1" l="1"/>
  <c r="F268" i="1"/>
  <c r="D268" i="1"/>
  <c r="D240" i="1"/>
  <c r="G240" i="1" s="1"/>
  <c r="D224" i="1"/>
  <c r="D214" i="1"/>
  <c r="F214" i="1" l="1"/>
  <c r="G214" i="1" s="1"/>
  <c r="D262" i="1"/>
  <c r="D271" i="1" s="1"/>
  <c r="F60" i="1"/>
  <c r="G268" i="1"/>
  <c r="G60" i="1" s="1"/>
  <c r="F224" i="1"/>
  <c r="G224" i="1" s="1"/>
  <c r="F258" i="1"/>
  <c r="G258" i="1" s="1"/>
  <c r="F240" i="1"/>
  <c r="J258" i="1"/>
  <c r="J224" i="1"/>
  <c r="J265" i="1"/>
  <c r="J268" i="1"/>
  <c r="J240" i="1"/>
  <c r="F262" i="1" l="1"/>
  <c r="J60" i="1"/>
  <c r="J262" i="1"/>
  <c r="F115" i="1"/>
  <c r="G115" i="1" s="1"/>
  <c r="F116" i="1"/>
  <c r="G116" i="1" s="1"/>
  <c r="F117" i="1"/>
  <c r="G117" i="1" s="1"/>
  <c r="F122" i="1"/>
  <c r="G122" i="1" s="1"/>
  <c r="F123" i="1"/>
  <c r="G123" i="1" s="1"/>
  <c r="F125" i="1"/>
  <c r="G125" i="1" s="1"/>
  <c r="F135" i="1"/>
  <c r="G135" i="1" s="1"/>
  <c r="F163" i="1"/>
  <c r="G163" i="1" s="1"/>
  <c r="F166" i="1"/>
  <c r="G166" i="1" s="1"/>
  <c r="F167" i="1"/>
  <c r="G167" i="1" s="1"/>
  <c r="F170" i="1"/>
  <c r="G170" i="1" s="1"/>
  <c r="F171" i="1"/>
  <c r="G171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79" i="1"/>
  <c r="F287" i="1"/>
  <c r="G295" i="1"/>
  <c r="F303" i="1"/>
  <c r="F304" i="1"/>
  <c r="F305" i="1"/>
  <c r="F306" i="1"/>
  <c r="F307" i="1"/>
  <c r="F308" i="1"/>
  <c r="F320" i="1"/>
  <c r="H320" i="1" s="1"/>
  <c r="F321" i="1"/>
  <c r="H321" i="1" s="1"/>
  <c r="F322" i="1"/>
  <c r="H322" i="1" s="1"/>
  <c r="F323" i="1"/>
  <c r="H323" i="1" s="1"/>
  <c r="F324" i="1"/>
  <c r="H324" i="1" s="1"/>
  <c r="F325" i="1"/>
  <c r="H325" i="1" s="1"/>
  <c r="F327" i="1"/>
  <c r="H327" i="1" s="1"/>
  <c r="F328" i="1"/>
  <c r="H328" i="1" s="1"/>
  <c r="F329" i="1"/>
  <c r="H329" i="1" s="1"/>
  <c r="F332" i="1"/>
  <c r="H332" i="1" s="1"/>
  <c r="F336" i="1"/>
  <c r="G336" i="1" s="1"/>
  <c r="F337" i="1"/>
  <c r="F340" i="1"/>
  <c r="F342" i="1"/>
  <c r="F343" i="1"/>
  <c r="F344" i="1"/>
  <c r="F361" i="1"/>
  <c r="F362" i="1"/>
  <c r="H362" i="1" s="1"/>
  <c r="F386" i="1"/>
  <c r="H386" i="1" s="1"/>
  <c r="F387" i="1"/>
  <c r="H387" i="1" s="1"/>
  <c r="F388" i="1"/>
  <c r="H388" i="1" s="1"/>
  <c r="F389" i="1"/>
  <c r="H389" i="1" s="1"/>
  <c r="F390" i="1"/>
  <c r="H390" i="1" s="1"/>
  <c r="F391" i="1"/>
  <c r="H391" i="1" s="1"/>
  <c r="F393" i="1"/>
  <c r="H393" i="1" s="1"/>
  <c r="F394" i="1"/>
  <c r="H394" i="1" s="1"/>
  <c r="F398" i="1"/>
  <c r="H398" i="1" s="1"/>
  <c r="F399" i="1"/>
  <c r="H399" i="1" s="1"/>
  <c r="F400" i="1"/>
  <c r="H400" i="1" s="1"/>
  <c r="F401" i="1"/>
  <c r="H401" i="1" s="1"/>
  <c r="F402" i="1"/>
  <c r="H402" i="1" s="1"/>
  <c r="F403" i="1"/>
  <c r="H403" i="1" s="1"/>
  <c r="F404" i="1"/>
  <c r="H404" i="1" s="1"/>
  <c r="F415" i="1"/>
  <c r="F418" i="1"/>
  <c r="H418" i="1" s="1"/>
  <c r="F422" i="1"/>
  <c r="H422" i="1" s="1"/>
  <c r="F423" i="1"/>
  <c r="H423" i="1" s="1"/>
  <c r="J423" i="1" s="1"/>
  <c r="F425" i="1"/>
  <c r="H425" i="1" s="1"/>
  <c r="F426" i="1"/>
  <c r="H426" i="1" s="1"/>
  <c r="F430" i="1"/>
  <c r="H430" i="1" s="1"/>
  <c r="F431" i="1"/>
  <c r="H431" i="1" s="1"/>
  <c r="F433" i="1"/>
  <c r="H433" i="1" s="1"/>
  <c r="F434" i="1"/>
  <c r="H434" i="1" s="1"/>
  <c r="F437" i="1"/>
  <c r="H437" i="1" s="1"/>
  <c r="F438" i="1"/>
  <c r="H438" i="1" s="1"/>
  <c r="F440" i="1"/>
  <c r="H440" i="1" s="1"/>
  <c r="F447" i="1"/>
  <c r="H447" i="1" s="1"/>
  <c r="F452" i="1"/>
  <c r="H452" i="1" s="1"/>
  <c r="H454" i="1"/>
  <c r="J454" i="1" s="1"/>
  <c r="F457" i="1"/>
  <c r="H457" i="1" s="1"/>
  <c r="F458" i="1"/>
  <c r="H458" i="1" s="1"/>
  <c r="F462" i="1"/>
  <c r="H462" i="1" s="1"/>
  <c r="F463" i="1"/>
  <c r="H463" i="1" s="1"/>
  <c r="F464" i="1"/>
  <c r="H464" i="1" s="1"/>
  <c r="F466" i="1"/>
  <c r="H466" i="1" s="1"/>
  <c r="F469" i="1"/>
  <c r="H469" i="1" s="1"/>
  <c r="F475" i="1"/>
  <c r="H475" i="1" s="1"/>
  <c r="F481" i="1"/>
  <c r="H481" i="1" s="1"/>
  <c r="F482" i="1"/>
  <c r="H482" i="1" s="1"/>
  <c r="F484" i="1"/>
  <c r="H484" i="1" s="1"/>
  <c r="F485" i="1"/>
  <c r="H485" i="1" s="1"/>
  <c r="F489" i="1"/>
  <c r="H489" i="1" s="1"/>
  <c r="F491" i="1"/>
  <c r="H491" i="1" s="1"/>
  <c r="F492" i="1"/>
  <c r="H492" i="1" s="1"/>
  <c r="F493" i="1"/>
  <c r="H493" i="1" s="1"/>
  <c r="F495" i="1"/>
  <c r="H495" i="1" s="1"/>
  <c r="F508" i="1"/>
  <c r="H508" i="1" s="1"/>
  <c r="F516" i="1"/>
  <c r="H516" i="1" s="1"/>
  <c r="F521" i="1"/>
  <c r="H521" i="1" s="1"/>
  <c r="F522" i="1"/>
  <c r="H522" i="1" s="1"/>
  <c r="F523" i="1"/>
  <c r="H523" i="1" s="1"/>
  <c r="F524" i="1"/>
  <c r="H524" i="1" s="1"/>
  <c r="F526" i="1"/>
  <c r="H526" i="1" s="1"/>
  <c r="F527" i="1"/>
  <c r="H527" i="1" s="1"/>
  <c r="F531" i="1"/>
  <c r="H531" i="1" s="1"/>
  <c r="F532" i="1"/>
  <c r="H532" i="1" s="1"/>
  <c r="F533" i="1"/>
  <c r="H533" i="1" s="1"/>
  <c r="F534" i="1"/>
  <c r="H534" i="1" s="1"/>
  <c r="F535" i="1"/>
  <c r="H535" i="1" s="1"/>
  <c r="H559" i="1"/>
  <c r="F560" i="1"/>
  <c r="H560" i="1" s="1"/>
  <c r="F561" i="1"/>
  <c r="H561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72" i="1"/>
  <c r="H572" i="1" s="1"/>
  <c r="F573" i="1"/>
  <c r="H573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80" i="1"/>
  <c r="H580" i="1" s="1"/>
  <c r="F585" i="1"/>
  <c r="H585" i="1" s="1"/>
  <c r="F586" i="1"/>
  <c r="H586" i="1" s="1"/>
  <c r="F587" i="1"/>
  <c r="H587" i="1" s="1"/>
  <c r="F588" i="1"/>
  <c r="H588" i="1" s="1"/>
  <c r="F589" i="1"/>
  <c r="H589" i="1" s="1"/>
  <c r="F593" i="1"/>
  <c r="H593" i="1" s="1"/>
  <c r="F598" i="1"/>
  <c r="H598" i="1" s="1"/>
  <c r="H599" i="1"/>
  <c r="F605" i="1"/>
  <c r="H605" i="1" s="1"/>
  <c r="J605" i="1" s="1"/>
  <c r="F606" i="1"/>
  <c r="H606" i="1" s="1"/>
  <c r="F607" i="1"/>
  <c r="H607" i="1" s="1"/>
  <c r="F609" i="1"/>
  <c r="H609" i="1" s="1"/>
  <c r="F610" i="1"/>
  <c r="H610" i="1" s="1"/>
  <c r="F612" i="1"/>
  <c r="H612" i="1" s="1"/>
  <c r="F613" i="1"/>
  <c r="H613" i="1" s="1"/>
  <c r="F617" i="1"/>
  <c r="H617" i="1" s="1"/>
  <c r="F620" i="1"/>
  <c r="H620" i="1" s="1"/>
  <c r="F621" i="1"/>
  <c r="H621" i="1" s="1"/>
  <c r="F622" i="1"/>
  <c r="H622" i="1" s="1"/>
  <c r="F623" i="1"/>
  <c r="H623" i="1" s="1"/>
  <c r="F624" i="1"/>
  <c r="H624" i="1" s="1"/>
  <c r="F625" i="1"/>
  <c r="H625" i="1" s="1"/>
  <c r="F626" i="1"/>
  <c r="H626" i="1" s="1"/>
  <c r="F627" i="1"/>
  <c r="H627" i="1" s="1"/>
  <c r="F635" i="1"/>
  <c r="H635" i="1" s="1"/>
  <c r="F637" i="1"/>
  <c r="H637" i="1" s="1"/>
  <c r="F638" i="1"/>
  <c r="H638" i="1" s="1"/>
  <c r="F639" i="1"/>
  <c r="H639" i="1" s="1"/>
  <c r="H111" i="1" s="1"/>
  <c r="F644" i="1"/>
  <c r="G644" i="1" s="1"/>
  <c r="F645" i="1"/>
  <c r="G645" i="1" s="1"/>
  <c r="F647" i="1"/>
  <c r="G647" i="1" s="1"/>
  <c r="F651" i="1"/>
  <c r="G651" i="1" s="1"/>
  <c r="F652" i="1"/>
  <c r="G652" i="1" s="1"/>
  <c r="F653" i="1"/>
  <c r="G653" i="1" s="1"/>
  <c r="F654" i="1"/>
  <c r="G654" i="1" s="1"/>
  <c r="F655" i="1"/>
  <c r="G655" i="1" s="1"/>
  <c r="F656" i="1"/>
  <c r="G656" i="1" s="1"/>
  <c r="F657" i="1"/>
  <c r="G657" i="1" s="1"/>
  <c r="F661" i="1"/>
  <c r="G661" i="1" s="1"/>
  <c r="F662" i="1"/>
  <c r="G662" i="1" s="1"/>
  <c r="F663" i="1"/>
  <c r="G663" i="1" s="1"/>
  <c r="F665" i="1"/>
  <c r="G665" i="1" s="1"/>
  <c r="F666" i="1"/>
  <c r="G666" i="1" s="1"/>
  <c r="F667" i="1"/>
  <c r="G667" i="1" s="1"/>
  <c r="F668" i="1"/>
  <c r="G668" i="1" s="1"/>
  <c r="F669" i="1"/>
  <c r="G669" i="1" s="1"/>
  <c r="F670" i="1"/>
  <c r="G670" i="1" s="1"/>
  <c r="F671" i="1"/>
  <c r="G671" i="1" s="1"/>
  <c r="F672" i="1"/>
  <c r="G672" i="1" s="1"/>
  <c r="F673" i="1"/>
  <c r="G673" i="1" s="1"/>
  <c r="G683" i="1"/>
  <c r="F684" i="1"/>
  <c r="G684" i="1" s="1"/>
  <c r="F686" i="1"/>
  <c r="G686" i="1" s="1"/>
  <c r="F687" i="1"/>
  <c r="G687" i="1" s="1"/>
  <c r="F688" i="1"/>
  <c r="G688" i="1" s="1"/>
  <c r="F689" i="1"/>
  <c r="G689" i="1" s="1"/>
  <c r="F690" i="1"/>
  <c r="G690" i="1" s="1"/>
  <c r="F691" i="1"/>
  <c r="G691" i="1" s="1"/>
  <c r="F696" i="1"/>
  <c r="G696" i="1" s="1"/>
  <c r="F700" i="1"/>
  <c r="F701" i="1"/>
  <c r="F712" i="1"/>
  <c r="F713" i="1"/>
  <c r="H713" i="1" s="1"/>
  <c r="G81" i="1"/>
  <c r="G19" i="1" s="1"/>
  <c r="F757" i="1"/>
  <c r="F879" i="1"/>
  <c r="H879" i="1" s="1"/>
  <c r="F880" i="1"/>
  <c r="H880" i="1" s="1"/>
  <c r="F881" i="1"/>
  <c r="F882" i="1"/>
  <c r="H882" i="1" s="1"/>
  <c r="F883" i="1"/>
  <c r="H883" i="1" s="1"/>
  <c r="F885" i="1"/>
  <c r="F886" i="1"/>
  <c r="H886" i="1" s="1"/>
  <c r="F887" i="1"/>
  <c r="H887" i="1" s="1"/>
  <c r="F889" i="1"/>
  <c r="H889" i="1" s="1"/>
  <c r="F890" i="1"/>
  <c r="H890" i="1" s="1"/>
  <c r="F894" i="1"/>
  <c r="H894" i="1" s="1"/>
  <c r="F895" i="1"/>
  <c r="H895" i="1" s="1"/>
  <c r="F896" i="1"/>
  <c r="F897" i="1"/>
  <c r="H897" i="1" s="1"/>
  <c r="F898" i="1"/>
  <c r="H898" i="1" s="1"/>
  <c r="F900" i="1"/>
  <c r="F901" i="1"/>
  <c r="H901" i="1" s="1"/>
  <c r="F902" i="1"/>
  <c r="H902" i="1" s="1"/>
  <c r="F904" i="1"/>
  <c r="F912" i="1"/>
  <c r="H912" i="1" s="1"/>
  <c r="F913" i="1"/>
  <c r="H913" i="1" s="1"/>
  <c r="F915" i="1"/>
  <c r="H915" i="1" s="1"/>
  <c r="F916" i="1"/>
  <c r="H916" i="1" s="1"/>
  <c r="F918" i="1"/>
  <c r="H918" i="1" s="1"/>
  <c r="F919" i="1"/>
  <c r="H919" i="1" s="1"/>
  <c r="F923" i="1"/>
  <c r="H923" i="1" s="1"/>
  <c r="F924" i="1"/>
  <c r="H924" i="1" s="1"/>
  <c r="F925" i="1"/>
  <c r="H925" i="1" s="1"/>
  <c r="F926" i="1"/>
  <c r="F927" i="1"/>
  <c r="H927" i="1" s="1"/>
  <c r="F928" i="1"/>
  <c r="H928" i="1" s="1"/>
  <c r="F930" i="1"/>
  <c r="H930" i="1" s="1"/>
  <c r="F936" i="1"/>
  <c r="H936" i="1" s="1"/>
  <c r="F937" i="1"/>
  <c r="H937" i="1" s="1"/>
  <c r="F938" i="1"/>
  <c r="F939" i="1"/>
  <c r="H939" i="1" s="1"/>
  <c r="F940" i="1"/>
  <c r="H940" i="1" s="1"/>
  <c r="F942" i="1"/>
  <c r="H942" i="1" s="1"/>
  <c r="F943" i="1"/>
  <c r="H943" i="1" s="1"/>
  <c r="F947" i="1"/>
  <c r="H947" i="1" s="1"/>
  <c r="F948" i="1"/>
  <c r="H948" i="1" s="1"/>
  <c r="F949" i="1"/>
  <c r="F950" i="1"/>
  <c r="H950" i="1" s="1"/>
  <c r="H952" i="1" s="1"/>
  <c r="F951" i="1"/>
  <c r="F953" i="1"/>
  <c r="H953" i="1" s="1"/>
  <c r="F958" i="1"/>
  <c r="H958" i="1" s="1"/>
  <c r="F959" i="1"/>
  <c r="F960" i="1"/>
  <c r="H960" i="1" s="1"/>
  <c r="F961" i="1"/>
  <c r="H961" i="1" s="1"/>
  <c r="F964" i="1"/>
  <c r="H964" i="1" s="1"/>
  <c r="F965" i="1"/>
  <c r="H965" i="1" s="1"/>
  <c r="F967" i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80" i="1"/>
  <c r="F981" i="1"/>
  <c r="F982" i="1"/>
  <c r="H982" i="1" s="1"/>
  <c r="F983" i="1"/>
  <c r="H983" i="1" s="1"/>
  <c r="F984" i="1"/>
  <c r="H984" i="1" s="1"/>
  <c r="F985" i="1"/>
  <c r="H985" i="1" s="1"/>
  <c r="F986" i="1"/>
  <c r="H986" i="1" s="1"/>
  <c r="F988" i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7" i="1"/>
  <c r="H1027" i="1" s="1"/>
  <c r="F1028" i="1"/>
  <c r="H1028" i="1" s="1"/>
  <c r="F1029" i="1"/>
  <c r="H1029" i="1" s="1"/>
  <c r="F1030" i="1"/>
  <c r="H1030" i="1" s="1"/>
  <c r="F1031" i="1"/>
  <c r="H1031" i="1" s="1"/>
  <c r="F1035" i="1"/>
  <c r="H1035" i="1" s="1"/>
  <c r="F1036" i="1"/>
  <c r="H1036" i="1" s="1"/>
  <c r="F1037" i="1"/>
  <c r="H1037" i="1" s="1"/>
  <c r="F1038" i="1"/>
  <c r="H1038" i="1" s="1"/>
  <c r="F1039" i="1"/>
  <c r="F1040" i="1"/>
  <c r="H1040" i="1" s="1"/>
  <c r="F1041" i="1"/>
  <c r="H1041" i="1" s="1"/>
  <c r="F1043" i="1"/>
  <c r="H1043" i="1" s="1"/>
  <c r="F1044" i="1"/>
  <c r="H1044" i="1" s="1"/>
  <c r="F1045" i="1"/>
  <c r="H1045" i="1" s="1"/>
  <c r="F1048" i="1"/>
  <c r="H1048" i="1" s="1"/>
  <c r="F1049" i="1"/>
  <c r="H1049" i="1" s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2" i="1"/>
  <c r="H1062" i="1" s="1"/>
  <c r="F1063" i="1"/>
  <c r="H1063" i="1" s="1"/>
  <c r="F1064" i="1"/>
  <c r="H1064" i="1" s="1"/>
  <c r="F1065" i="1"/>
  <c r="H1065" i="1" s="1"/>
  <c r="F1067" i="1"/>
  <c r="F1068" i="1"/>
  <c r="H1068" i="1" s="1"/>
  <c r="F1069" i="1"/>
  <c r="D82" i="1"/>
  <c r="F82" i="1" s="1"/>
  <c r="D81" i="1"/>
  <c r="F81" i="1" s="1"/>
  <c r="D64" i="1"/>
  <c r="D60" i="1"/>
  <c r="D59" i="1"/>
  <c r="D204" i="1"/>
  <c r="D172" i="1"/>
  <c r="D168" i="1"/>
  <c r="D127" i="1"/>
  <c r="G340" i="1" l="1"/>
  <c r="H340" i="1" s="1"/>
  <c r="J340" i="1" s="1"/>
  <c r="D206" i="1"/>
  <c r="D54" i="1"/>
  <c r="H415" i="1"/>
  <c r="J415" i="1" s="1"/>
  <c r="H899" i="1"/>
  <c r="J899" i="1" s="1"/>
  <c r="H884" i="1"/>
  <c r="J884" i="1" s="1"/>
  <c r="H917" i="1"/>
  <c r="H920" i="1" s="1"/>
  <c r="H888" i="1"/>
  <c r="J888" i="1" s="1"/>
  <c r="H944" i="1"/>
  <c r="H903" i="1"/>
  <c r="J903" i="1" s="1"/>
  <c r="H954" i="1"/>
  <c r="H941" i="1"/>
  <c r="F59" i="1"/>
  <c r="G262" i="1"/>
  <c r="G59" i="1" s="1"/>
  <c r="H330" i="1"/>
  <c r="F134" i="1"/>
  <c r="G134" i="1" s="1"/>
  <c r="H966" i="1"/>
  <c r="H929" i="1"/>
  <c r="H931" i="1" s="1"/>
  <c r="H1024" i="1"/>
  <c r="H1066" i="1"/>
  <c r="H1015" i="1"/>
  <c r="H1003" i="1"/>
  <c r="H361" i="1"/>
  <c r="H363" i="1" s="1"/>
  <c r="H67" i="1" s="1"/>
  <c r="H407" i="1"/>
  <c r="H979" i="1"/>
  <c r="H1032" i="1"/>
  <c r="H987" i="1"/>
  <c r="H904" i="1"/>
  <c r="J904" i="1" s="1"/>
  <c r="H395" i="1"/>
  <c r="H344" i="1"/>
  <c r="H343" i="1"/>
  <c r="J343" i="1" s="1"/>
  <c r="H342" i="1"/>
  <c r="J342" i="1" s="1"/>
  <c r="J426" i="1"/>
  <c r="J425" i="1"/>
  <c r="G757" i="1"/>
  <c r="G82" i="1" s="1"/>
  <c r="G20" i="1" s="1"/>
  <c r="J332" i="1"/>
  <c r="J111" i="1"/>
  <c r="J588" i="1"/>
  <c r="F271" i="1"/>
  <c r="G271" i="1" s="1"/>
  <c r="J130" i="1"/>
  <c r="F127" i="1"/>
  <c r="F54" i="1" s="1"/>
  <c r="D55" i="1"/>
  <c r="F168" i="1"/>
  <c r="G168" i="1" s="1"/>
  <c r="F64" i="1"/>
  <c r="D19" i="1"/>
  <c r="F19" i="1" s="1"/>
  <c r="F172" i="1"/>
  <c r="G172" i="1" s="1"/>
  <c r="F204" i="1"/>
  <c r="J140" i="1"/>
  <c r="J148" i="1"/>
  <c r="J271" i="1"/>
  <c r="D57" i="1"/>
  <c r="J119" i="1"/>
  <c r="J152" i="1"/>
  <c r="J168" i="1"/>
  <c r="J166" i="1"/>
  <c r="J59" i="1"/>
  <c r="J136" i="1"/>
  <c r="J144" i="1"/>
  <c r="J156" i="1"/>
  <c r="D20" i="1"/>
  <c r="F20" i="1" s="1"/>
  <c r="F158" i="1"/>
  <c r="F119" i="1"/>
  <c r="J172" i="1"/>
  <c r="J170" i="1"/>
  <c r="J204" i="1"/>
  <c r="D53" i="1"/>
  <c r="F55" i="1" l="1"/>
  <c r="G158" i="1"/>
  <c r="G55" i="1" s="1"/>
  <c r="H891" i="1"/>
  <c r="H409" i="1"/>
  <c r="J409" i="1" s="1"/>
  <c r="F57" i="1"/>
  <c r="G204" i="1"/>
  <c r="G57" i="1" s="1"/>
  <c r="G127" i="1"/>
  <c r="G54" i="1" s="1"/>
  <c r="F53" i="1"/>
  <c r="G119" i="1"/>
  <c r="G53" i="1" s="1"/>
  <c r="H932" i="1"/>
  <c r="H955" i="1"/>
  <c r="H1016" i="1"/>
  <c r="H989" i="1"/>
  <c r="J361" i="1"/>
  <c r="J344" i="1"/>
  <c r="H64" i="1"/>
  <c r="J164" i="1"/>
  <c r="J55" i="1"/>
  <c r="J53" i="1"/>
  <c r="J187" i="1"/>
  <c r="J158" i="1"/>
  <c r="H73" i="1" l="1"/>
  <c r="H411" i="1"/>
  <c r="J411" i="1" s="1"/>
  <c r="J275" i="1"/>
  <c r="B6" i="1"/>
  <c r="F494" i="1"/>
  <c r="H494" i="1" s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6" i="1"/>
  <c r="B27" i="1"/>
  <c r="B28" i="1"/>
  <c r="B30" i="1"/>
  <c r="B31" i="1"/>
  <c r="B32" i="1"/>
  <c r="B33" i="1"/>
  <c r="B37" i="1"/>
  <c r="B38" i="1"/>
  <c r="B45" i="1"/>
  <c r="B46" i="1"/>
  <c r="B47" i="1"/>
  <c r="B71" i="1"/>
  <c r="D92" i="1"/>
  <c r="B159" i="1"/>
  <c r="B160" i="1"/>
  <c r="B176" i="1"/>
  <c r="B242" i="1"/>
  <c r="B246" i="1"/>
  <c r="B274" i="1"/>
  <c r="B315" i="1"/>
  <c r="F338" i="1"/>
  <c r="F439" i="1"/>
  <c r="H439" i="1" s="1"/>
  <c r="B444" i="1"/>
  <c r="B472" i="1" s="1"/>
  <c r="B518" i="1" s="1"/>
  <c r="B556" i="1" s="1"/>
  <c r="B602" i="1" s="1"/>
  <c r="B498" i="1"/>
  <c r="B570" i="1"/>
  <c r="B636" i="1"/>
  <c r="B642" i="1"/>
  <c r="B675" i="1"/>
  <c r="B681" i="1"/>
  <c r="B694" i="1"/>
  <c r="B695" i="1"/>
  <c r="C695" i="1"/>
  <c r="B908" i="1"/>
  <c r="B933" i="1"/>
  <c r="B956" i="1"/>
  <c r="B969" i="1"/>
  <c r="B990" i="1"/>
  <c r="B1004" i="1"/>
  <c r="B1033" i="1"/>
  <c r="B1066" i="1"/>
  <c r="H11" i="1" l="1"/>
  <c r="J11" i="1" s="1"/>
  <c r="H74" i="1"/>
  <c r="H12" i="1" s="1"/>
  <c r="J12" i="1" s="1"/>
  <c r="F92" i="1"/>
  <c r="F363" i="1"/>
  <c r="D67" i="1"/>
  <c r="J61" i="1"/>
  <c r="J937" i="1"/>
  <c r="J961" i="1"/>
  <c r="J912" i="1"/>
  <c r="J950" i="1"/>
  <c r="J925" i="1"/>
  <c r="J916" i="1"/>
  <c r="J913" i="1"/>
  <c r="J897" i="1"/>
  <c r="J880" i="1"/>
  <c r="J464" i="1"/>
  <c r="J458" i="1"/>
  <c r="J452" i="1"/>
  <c r="J994" i="1"/>
  <c r="F483" i="1"/>
  <c r="H483" i="1" s="1"/>
  <c r="F929" i="1"/>
  <c r="F952" i="1"/>
  <c r="F941" i="1"/>
  <c r="F441" i="1"/>
  <c r="H441" i="1" s="1"/>
  <c r="F966" i="1"/>
  <c r="F931" i="1"/>
  <c r="G363" i="1" l="1"/>
  <c r="G67" i="1" s="1"/>
  <c r="F67" i="1"/>
  <c r="J973" i="1"/>
  <c r="J628" i="1"/>
  <c r="J1059" i="1"/>
  <c r="J560" i="1"/>
  <c r="J1052" i="1"/>
  <c r="J623" i="1"/>
  <c r="J1051" i="1"/>
  <c r="J1050" i="1"/>
  <c r="J394" i="1"/>
  <c r="J387" i="1"/>
  <c r="J887" i="1"/>
  <c r="J484" i="1"/>
  <c r="J889" i="1"/>
  <c r="J930" i="1"/>
  <c r="J942" i="1"/>
  <c r="J621" i="1"/>
  <c r="J440" i="1"/>
  <c r="J918" i="1"/>
  <c r="J965" i="1"/>
  <c r="J953" i="1"/>
  <c r="J1029" i="1"/>
  <c r="J980" i="1"/>
  <c r="J1022" i="1"/>
  <c r="J508" i="1"/>
  <c r="J902" i="1"/>
  <c r="J485" i="1"/>
  <c r="J890" i="1"/>
  <c r="J919" i="1"/>
  <c r="J928" i="1"/>
  <c r="J943" i="1"/>
  <c r="J964" i="1"/>
  <c r="J626" i="1"/>
  <c r="J1056" i="1"/>
  <c r="J434" i="1"/>
  <c r="J1049" i="1"/>
  <c r="J437" i="1"/>
  <c r="J882" i="1"/>
  <c r="J418" i="1"/>
  <c r="J492" i="1"/>
  <c r="J960" i="1"/>
  <c r="E25" i="1"/>
  <c r="J522" i="1"/>
  <c r="J388" i="1"/>
  <c r="J630" i="1"/>
  <c r="J1057" i="1"/>
  <c r="J587" i="1"/>
  <c r="J624" i="1"/>
  <c r="J625" i="1"/>
  <c r="J1053" i="1"/>
  <c r="J383" i="1"/>
  <c r="J457" i="1"/>
  <c r="J1055" i="1"/>
  <c r="J390" i="1"/>
  <c r="J627" i="1"/>
  <c r="J360" i="1"/>
  <c r="J438" i="1"/>
  <c r="J622" i="1"/>
  <c r="J1021" i="1"/>
  <c r="J433" i="1"/>
  <c r="J481" i="1"/>
  <c r="J886" i="1"/>
  <c r="J939" i="1"/>
  <c r="J422" i="1"/>
  <c r="J901" i="1"/>
  <c r="J598" i="1"/>
  <c r="J87" i="1"/>
  <c r="J25" i="1"/>
  <c r="J362" i="1"/>
  <c r="J430" i="1"/>
  <c r="J940" i="1"/>
  <c r="J392" i="1"/>
  <c r="J883" i="1"/>
  <c r="J915" i="1"/>
  <c r="J927" i="1"/>
  <c r="J967" i="1"/>
  <c r="F435" i="1"/>
  <c r="H435" i="1" s="1"/>
  <c r="F424" i="1"/>
  <c r="H424" i="1" s="1"/>
  <c r="J424" i="1" s="1"/>
  <c r="F648" i="1"/>
  <c r="G648" i="1" s="1"/>
  <c r="F955" i="1"/>
  <c r="F944" i="1"/>
  <c r="F954" i="1"/>
  <c r="F1032" i="1"/>
  <c r="F932" i="1"/>
  <c r="F920" i="1"/>
  <c r="F891" i="1" l="1"/>
  <c r="D906" i="1"/>
  <c r="F906" i="1" s="1"/>
  <c r="J435" i="1"/>
  <c r="F25" i="1"/>
  <c r="J998" i="1"/>
  <c r="J669" i="1"/>
  <c r="J1030" i="1"/>
  <c r="J941" i="1"/>
  <c r="J483" i="1"/>
  <c r="J494" i="1"/>
  <c r="J439" i="1"/>
  <c r="J1023" i="1"/>
  <c r="D97" i="1"/>
  <c r="D100" i="1" s="1"/>
  <c r="F747" i="1"/>
  <c r="D80" i="1"/>
  <c r="D776" i="1" s="1"/>
  <c r="J363" i="1"/>
  <c r="J923" i="1"/>
  <c r="J898" i="1"/>
  <c r="J1028" i="1"/>
  <c r="J1024" i="1"/>
  <c r="J564" i="1"/>
  <c r="J1009" i="1"/>
  <c r="J665" i="1"/>
  <c r="J562" i="1"/>
  <c r="J469" i="1"/>
  <c r="J495" i="1"/>
  <c r="J670" i="1"/>
  <c r="J929" i="1"/>
  <c r="J1013" i="1"/>
  <c r="J672" i="1"/>
  <c r="J1000" i="1"/>
  <c r="J9" i="1"/>
  <c r="F280" i="1"/>
  <c r="D62" i="1"/>
  <c r="J911" i="1"/>
  <c r="J951" i="1"/>
  <c r="J952" i="1"/>
  <c r="J948" i="1"/>
  <c r="J431" i="1"/>
  <c r="J673" i="1"/>
  <c r="J391" i="1"/>
  <c r="J575" i="1"/>
  <c r="J996" i="1"/>
  <c r="J645" i="1"/>
  <c r="J389" i="1"/>
  <c r="J647" i="1"/>
  <c r="J579" i="1"/>
  <c r="J671" i="1"/>
  <c r="J566" i="1"/>
  <c r="J917" i="1"/>
  <c r="J482" i="1"/>
  <c r="J988" i="1"/>
  <c r="J780" i="1"/>
  <c r="J932" i="1"/>
  <c r="J516" i="1"/>
  <c r="J654" i="1"/>
  <c r="F905" i="1"/>
  <c r="H905" i="1" s="1"/>
  <c r="H906" i="1" s="1"/>
  <c r="H968" i="1" s="1"/>
  <c r="H1070" i="1" s="1"/>
  <c r="F496" i="1"/>
  <c r="H496" i="1" s="1"/>
  <c r="D968" i="1" l="1"/>
  <c r="D1070" i="1" s="1"/>
  <c r="F62" i="1"/>
  <c r="J524" i="1"/>
  <c r="J533" i="1"/>
  <c r="J895" i="1"/>
  <c r="J936" i="1"/>
  <c r="J441" i="1"/>
  <c r="J920" i="1"/>
  <c r="J924" i="1"/>
  <c r="J651" i="1"/>
  <c r="J944" i="1"/>
  <c r="J493" i="1"/>
  <c r="J947" i="1"/>
  <c r="J1031" i="1"/>
  <c r="J894" i="1"/>
  <c r="J466" i="1"/>
  <c r="J931" i="1"/>
  <c r="J984" i="1"/>
  <c r="J589" i="1"/>
  <c r="F1024" i="1"/>
  <c r="J593" i="1"/>
  <c r="J489" i="1"/>
  <c r="J447" i="1"/>
  <c r="J72" i="1"/>
  <c r="J67" i="1"/>
  <c r="F80" i="1"/>
  <c r="F776" i="1" s="1"/>
  <c r="D18" i="1"/>
  <c r="F18" i="1" s="1"/>
  <c r="J657" i="1"/>
  <c r="J974" i="1"/>
  <c r="J386" i="1"/>
  <c r="J653" i="1"/>
  <c r="J523" i="1"/>
  <c r="J975" i="1"/>
  <c r="J534" i="1"/>
  <c r="J985" i="1"/>
  <c r="J655" i="1"/>
  <c r="J656" i="1"/>
  <c r="F968" i="1" l="1"/>
  <c r="E776" i="1"/>
  <c r="J463" i="1"/>
  <c r="J490" i="1"/>
  <c r="J496" i="1"/>
  <c r="J954" i="1"/>
  <c r="J958" i="1"/>
  <c r="J658" i="1"/>
  <c r="J652" i="1"/>
  <c r="J462" i="1"/>
  <c r="J905" i="1"/>
  <c r="J1027" i="1"/>
  <c r="J976" i="1"/>
  <c r="J527" i="1"/>
  <c r="F658" i="1"/>
  <c r="G658" i="1" s="1"/>
  <c r="F590" i="1"/>
  <c r="H590" i="1" s="1"/>
  <c r="J1032" i="1" l="1"/>
  <c r="J526" i="1"/>
  <c r="J535" i="1"/>
  <c r="J955" i="1"/>
  <c r="J959" i="1"/>
  <c r="J590" i="1"/>
  <c r="J978" i="1"/>
  <c r="J982" i="1"/>
  <c r="J475" i="1"/>
  <c r="J531" i="1"/>
  <c r="J986" i="1"/>
  <c r="J1011" i="1"/>
  <c r="J577" i="1"/>
  <c r="F987" i="1"/>
  <c r="F536" i="1"/>
  <c r="H536" i="1" s="1"/>
  <c r="J599" i="1" l="1"/>
  <c r="J662" i="1"/>
  <c r="J667" i="1"/>
  <c r="J574" i="1"/>
  <c r="J578" i="1"/>
  <c r="J663" i="1"/>
  <c r="J668" i="1"/>
  <c r="J995" i="1"/>
  <c r="J999" i="1"/>
  <c r="J1008" i="1"/>
  <c r="J1012" i="1"/>
  <c r="J561" i="1"/>
  <c r="J565" i="1"/>
  <c r="J536" i="1"/>
  <c r="J972" i="1"/>
  <c r="J532" i="1"/>
  <c r="J987" i="1"/>
  <c r="J666" i="1"/>
  <c r="J1002" i="1"/>
  <c r="J563" i="1"/>
  <c r="J997" i="1"/>
  <c r="J568" i="1"/>
  <c r="J1010" i="1"/>
  <c r="J576" i="1"/>
  <c r="J580" i="1" l="1"/>
  <c r="J1014" i="1"/>
  <c r="J567" i="1"/>
  <c r="J521" i="1"/>
  <c r="J585" i="1"/>
  <c r="J572" i="1"/>
  <c r="J1019" i="1"/>
  <c r="J1006" i="1"/>
  <c r="J573" i="1"/>
  <c r="J559" i="1"/>
  <c r="J674" i="1"/>
  <c r="J661" i="1"/>
  <c r="J981" i="1"/>
  <c r="J586" i="1"/>
  <c r="F674" i="1"/>
  <c r="G674" i="1" s="1"/>
  <c r="F1015" i="1"/>
  <c r="F581" i="1"/>
  <c r="H581" i="1" s="1"/>
  <c r="J1015" i="1" l="1"/>
  <c r="J581" i="1"/>
  <c r="J983" i="1"/>
  <c r="J977" i="1"/>
  <c r="J1060" i="1"/>
  <c r="F979" i="1"/>
  <c r="F569" i="1"/>
  <c r="H569" i="1" s="1"/>
  <c r="J569" i="1" l="1"/>
  <c r="J685" i="1"/>
  <c r="J979" i="1"/>
  <c r="J682" i="1"/>
  <c r="J683" i="1"/>
  <c r="F582" i="1"/>
  <c r="H582" i="1" s="1"/>
  <c r="F989" i="1"/>
  <c r="J582" i="1" l="1"/>
  <c r="J686" i="1"/>
  <c r="J684" i="1"/>
  <c r="J989" i="1"/>
  <c r="J993" i="1"/>
  <c r="J1069" i="1"/>
  <c r="J393" i="1"/>
  <c r="J639" i="1"/>
  <c r="F692" i="1"/>
  <c r="G692" i="1" s="1"/>
  <c r="J687" i="1" l="1"/>
  <c r="J1007" i="1"/>
  <c r="J1001" i="1"/>
  <c r="J1045" i="1"/>
  <c r="J617" i="1"/>
  <c r="F395" i="1"/>
  <c r="F1003" i="1"/>
  <c r="F694" i="1"/>
  <c r="G694" i="1" s="1"/>
  <c r="J688" i="1" l="1"/>
  <c r="J690" i="1"/>
  <c r="J1037" i="1"/>
  <c r="J395" i="1"/>
  <c r="J1041" i="1"/>
  <c r="J1020" i="1"/>
  <c r="J1003" i="1"/>
  <c r="J1062" i="1"/>
  <c r="J1067" i="1"/>
  <c r="F1016" i="1"/>
  <c r="J689" i="1" l="1"/>
  <c r="J1016" i="1"/>
  <c r="J1063" i="1"/>
  <c r="J691" i="1" l="1"/>
  <c r="F73" i="1"/>
  <c r="D11" i="1"/>
  <c r="F11" i="1" s="1"/>
  <c r="D74" i="1"/>
  <c r="D769" i="1" l="1"/>
  <c r="D12" i="1"/>
  <c r="J692" i="1"/>
  <c r="J1064" i="1"/>
  <c r="J1068" i="1"/>
  <c r="J1035" i="1"/>
  <c r="J1039" i="1"/>
  <c r="J1036" i="1"/>
  <c r="J1040" i="1"/>
  <c r="J1038" i="1"/>
  <c r="J696" i="1"/>
  <c r="J1058" i="1"/>
  <c r="J629" i="1"/>
  <c r="F705" i="1"/>
  <c r="J694" i="1" l="1"/>
  <c r="D773" i="1"/>
  <c r="D78" i="1"/>
  <c r="D774" i="1" s="1"/>
  <c r="J1054" i="1"/>
  <c r="F631" i="1"/>
  <c r="H631" i="1" s="1"/>
  <c r="J631" i="1" l="1"/>
  <c r="J697" i="1"/>
  <c r="G77" i="1"/>
  <c r="J77" i="1"/>
  <c r="J635" i="1"/>
  <c r="J1065" i="1"/>
  <c r="F1066" i="1"/>
  <c r="F78" i="1"/>
  <c r="F774" i="1" s="1"/>
  <c r="D16" i="1"/>
  <c r="F16" i="1" s="1"/>
  <c r="F77" i="1"/>
  <c r="F773" i="1" s="1"/>
  <c r="D15" i="1"/>
  <c r="F15" i="1" s="1"/>
  <c r="G773" i="1" l="1"/>
  <c r="H773" i="1" s="1"/>
  <c r="G15" i="1"/>
  <c r="E773" i="1"/>
  <c r="E774" i="1"/>
  <c r="J15" i="1"/>
  <c r="J778" i="1"/>
  <c r="J773" i="1" l="1"/>
  <c r="J632" i="1"/>
  <c r="J607" i="1"/>
  <c r="J611" i="1"/>
  <c r="J613" i="1"/>
  <c r="J620" i="1"/>
  <c r="J717" i="1"/>
  <c r="J633" i="1"/>
  <c r="J637" i="1"/>
  <c r="J606" i="1"/>
  <c r="J610" i="1"/>
  <c r="J609" i="1"/>
  <c r="J634" i="1"/>
  <c r="J638" i="1"/>
  <c r="J1044" i="1"/>
  <c r="J1048" i="1"/>
  <c r="J612" i="1"/>
  <c r="J1043" i="1"/>
  <c r="J644" i="1" l="1"/>
  <c r="F636" i="1"/>
  <c r="H636" i="1" s="1"/>
  <c r="F1070" i="1"/>
  <c r="J636" i="1" l="1"/>
  <c r="D66" i="1"/>
  <c r="F66" i="1" l="1"/>
  <c r="D17" i="1"/>
  <c r="D311" i="1"/>
  <c r="F309" i="1" l="1"/>
  <c r="D65" i="1" l="1"/>
  <c r="J848" i="1" l="1"/>
  <c r="J866" i="1" l="1"/>
  <c r="F9" i="1" l="1"/>
  <c r="F91" i="1"/>
  <c r="E72" i="1" l="1"/>
  <c r="F72" i="1" s="1"/>
  <c r="E411" i="1"/>
  <c r="F411" i="1" l="1"/>
  <c r="E74" i="1"/>
  <c r="F74" i="1" s="1"/>
  <c r="F769" i="1" s="1"/>
  <c r="E769" i="1" l="1"/>
  <c r="E12" i="1"/>
  <c r="F12" i="1" s="1"/>
  <c r="J793" i="1" l="1"/>
  <c r="J844" i="1" l="1"/>
  <c r="J846" i="1"/>
  <c r="J859" i="1" l="1"/>
  <c r="J768" i="1" l="1"/>
  <c r="J770" i="1" l="1"/>
  <c r="J879" i="1"/>
  <c r="J771" i="1"/>
  <c r="J794" i="1" l="1"/>
  <c r="J1066" i="1" l="1"/>
  <c r="J891" i="1"/>
  <c r="J906" i="1" l="1"/>
  <c r="J968" i="1" l="1"/>
  <c r="J966" i="1"/>
  <c r="J1070" i="1" l="1"/>
  <c r="J841" i="1"/>
  <c r="J757" i="1"/>
  <c r="J814" i="1"/>
  <c r="J811" i="1" l="1"/>
  <c r="J20" i="1"/>
  <c r="J82" i="1"/>
  <c r="J81" i="1"/>
  <c r="J19" i="1"/>
  <c r="J820" i="1" l="1"/>
  <c r="J847" i="1" l="1"/>
  <c r="J320" i="1" l="1"/>
  <c r="J322" i="1" l="1"/>
  <c r="J323" i="1" l="1"/>
  <c r="J321" i="1"/>
  <c r="J325" i="1" l="1"/>
  <c r="J327" i="1" l="1"/>
  <c r="F419" i="1"/>
  <c r="F427" i="1"/>
  <c r="H419" i="1" l="1"/>
  <c r="J419" i="1" s="1"/>
  <c r="J328" i="1"/>
  <c r="D442" i="1"/>
  <c r="J329" i="1" l="1"/>
  <c r="F442" i="1"/>
  <c r="J64" i="1" l="1"/>
  <c r="J398" i="1" l="1"/>
  <c r="J404" i="1"/>
  <c r="J399" i="1"/>
  <c r="J402" i="1"/>
  <c r="J401" i="1"/>
  <c r="J400" i="1"/>
  <c r="J403" i="1"/>
  <c r="G411" i="1"/>
  <c r="J407" i="1"/>
  <c r="G73" i="1" l="1"/>
  <c r="G11" i="1" l="1"/>
  <c r="G74" i="1"/>
  <c r="G12" i="1" s="1"/>
  <c r="G769" i="1" l="1"/>
  <c r="H769" i="1" s="1"/>
  <c r="J73" i="1"/>
  <c r="J74" i="1" l="1"/>
  <c r="J769" i="1" l="1"/>
  <c r="J737" i="1"/>
  <c r="J324" i="1" l="1"/>
  <c r="J330" i="1" s="1"/>
  <c r="D63" i="1" l="1"/>
  <c r="E286" i="1" l="1"/>
  <c r="E290" i="1" s="1"/>
  <c r="E292" i="1" l="1"/>
  <c r="F290" i="1"/>
  <c r="F63" i="1" s="1"/>
  <c r="E63" i="1"/>
  <c r="E847" i="1" l="1"/>
  <c r="E865" i="1" l="1"/>
  <c r="F187" i="1" l="1"/>
  <c r="F56" i="1" s="1"/>
  <c r="G187" i="1" l="1"/>
  <c r="G56" i="1" s="1"/>
  <c r="F164" i="1"/>
  <c r="G164" i="1" s="1"/>
  <c r="D275" i="1"/>
  <c r="D292" i="1" s="1"/>
  <c r="D58" i="1"/>
  <c r="D61" i="1" s="1"/>
  <c r="F206" i="1"/>
  <c r="G206" i="1" l="1"/>
  <c r="F275" i="1"/>
  <c r="G275" i="1" s="1"/>
  <c r="G58" i="1"/>
  <c r="G61" i="1" s="1"/>
  <c r="F58" i="1"/>
  <c r="F61" i="1" s="1"/>
  <c r="F292" i="1"/>
  <c r="D317" i="1"/>
  <c r="D365" i="1" s="1"/>
  <c r="D314" i="1"/>
  <c r="D68" i="1" l="1"/>
  <c r="D6" i="1" s="1"/>
  <c r="D32" i="1" l="1"/>
  <c r="J105" i="1" l="1"/>
  <c r="J720" i="1" l="1"/>
  <c r="J721" i="1"/>
  <c r="J722" i="1"/>
  <c r="J719" i="1"/>
  <c r="J718" i="1"/>
  <c r="G723" i="1"/>
  <c r="H723" i="1" l="1"/>
  <c r="J723" i="1" l="1"/>
  <c r="J477" i="1"/>
  <c r="F479" i="1"/>
  <c r="H479" i="1" s="1"/>
  <c r="E479" i="1" l="1"/>
  <c r="F104" i="1" l="1"/>
  <c r="E486" i="1"/>
  <c r="E497" i="1" s="1"/>
  <c r="J479" i="1"/>
  <c r="F486" i="1" l="1"/>
  <c r="H486" i="1" s="1"/>
  <c r="J486" i="1" s="1"/>
  <c r="F497" i="1"/>
  <c r="H497" i="1" s="1"/>
  <c r="J497" i="1" l="1"/>
  <c r="F107" i="1" l="1"/>
  <c r="J107" i="1" l="1"/>
  <c r="E97" i="1"/>
  <c r="F97" i="1" l="1"/>
  <c r="F515" i="1"/>
  <c r="F731" i="1" l="1"/>
  <c r="F741" i="1" s="1"/>
  <c r="F79" i="1" l="1"/>
  <c r="F775" i="1" s="1"/>
  <c r="F17" i="1"/>
  <c r="E775" i="1" l="1"/>
  <c r="J784" i="1" l="1"/>
  <c r="J852" i="1" l="1"/>
  <c r="G816" i="1" l="1"/>
  <c r="J812" i="1"/>
  <c r="J816" i="1" s="1"/>
  <c r="J858" i="1" l="1"/>
  <c r="G858" i="1"/>
  <c r="G784" i="1" l="1"/>
  <c r="F456" i="1" l="1"/>
  <c r="H456" i="1" s="1"/>
  <c r="J456" i="1" s="1"/>
  <c r="F455" i="1"/>
  <c r="H455" i="1" s="1"/>
  <c r="J455" i="1" s="1"/>
  <c r="D459" i="1"/>
  <c r="F467" i="1"/>
  <c r="H467" i="1" s="1"/>
  <c r="F468" i="1"/>
  <c r="H468" i="1" s="1"/>
  <c r="J468" i="1" l="1"/>
  <c r="J467" i="1"/>
  <c r="D470" i="1"/>
  <c r="F470" i="1" l="1"/>
  <c r="H470" i="1" s="1"/>
  <c r="D471" i="1"/>
  <c r="D517" i="1" s="1"/>
  <c r="J470" i="1" l="1"/>
  <c r="J284" i="1" l="1"/>
  <c r="J290" i="1"/>
  <c r="J285" i="1"/>
  <c r="J286" i="1" s="1"/>
  <c r="J287" i="1"/>
  <c r="G287" i="1"/>
  <c r="J288" i="1"/>
  <c r="J289" i="1"/>
  <c r="G289" i="1"/>
  <c r="G286" i="1" l="1"/>
  <c r="G290" i="1" s="1"/>
  <c r="G63" i="1" s="1"/>
  <c r="J63" i="1" l="1"/>
  <c r="E528" i="1" l="1"/>
  <c r="E538" i="1" l="1"/>
  <c r="E99" i="1"/>
  <c r="E100" i="1" s="1"/>
  <c r="F100" i="1" s="1"/>
  <c r="H110" i="1"/>
  <c r="J110" i="1" s="1"/>
  <c r="H99" i="1"/>
  <c r="J525" i="1"/>
  <c r="E110" i="1"/>
  <c r="F110" i="1" s="1"/>
  <c r="F528" i="1" l="1"/>
  <c r="J99" i="1"/>
  <c r="F538" i="1"/>
  <c r="E451" i="1"/>
  <c r="E459" i="1" s="1"/>
  <c r="F449" i="1"/>
  <c r="H449" i="1" s="1"/>
  <c r="J449" i="1" s="1"/>
  <c r="H528" i="1" l="1"/>
  <c r="J528" i="1" s="1"/>
  <c r="H538" i="1"/>
  <c r="J538" i="1" s="1"/>
  <c r="E471" i="1"/>
  <c r="F451" i="1"/>
  <c r="H451" i="1" l="1"/>
  <c r="J451" i="1" s="1"/>
  <c r="E517" i="1"/>
  <c r="E640" i="1" s="1"/>
  <c r="F459" i="1"/>
  <c r="H459" i="1" s="1"/>
  <c r="J459" i="1" s="1"/>
  <c r="F471" i="1" l="1"/>
  <c r="H471" i="1" s="1"/>
  <c r="J471" i="1" s="1"/>
  <c r="F517" i="1" l="1"/>
  <c r="E102" i="1" l="1"/>
  <c r="E76" i="1"/>
  <c r="E14" i="1" l="1"/>
  <c r="E108" i="1"/>
  <c r="E112" i="1" l="1"/>
  <c r="J744" i="1" l="1"/>
  <c r="H730" i="1" l="1"/>
  <c r="H731" i="1"/>
  <c r="J731" i="1" s="1"/>
  <c r="H734" i="1"/>
  <c r="J734" i="1" s="1"/>
  <c r="J739" i="1"/>
  <c r="J738" i="1"/>
  <c r="J730" i="1" l="1"/>
  <c r="H279" i="1" l="1"/>
  <c r="J279" i="1" s="1"/>
  <c r="H280" i="1" l="1"/>
  <c r="H62" i="1" l="1"/>
  <c r="H292" i="1"/>
  <c r="J280" i="1"/>
  <c r="J292" i="1" s="1"/>
  <c r="G280" i="1"/>
  <c r="G62" i="1" l="1"/>
  <c r="G292" i="1"/>
  <c r="J62" i="1"/>
  <c r="F297" i="1" l="1"/>
  <c r="F298" i="1"/>
  <c r="F299" i="1"/>
  <c r="F300" i="1"/>
  <c r="E301" i="1"/>
  <c r="F301" i="1" s="1"/>
  <c r="G297" i="1" l="1"/>
  <c r="G298" i="1"/>
  <c r="G299" i="1"/>
  <c r="H299" i="1" s="1"/>
  <c r="J299" i="1" s="1"/>
  <c r="G300" i="1"/>
  <c r="E312" i="1"/>
  <c r="F312" i="1" s="1"/>
  <c r="F65" i="1" s="1"/>
  <c r="F68" i="1" s="1"/>
  <c r="H298" i="1"/>
  <c r="J298" i="1" s="1"/>
  <c r="H300" i="1"/>
  <c r="J300" i="1" s="1"/>
  <c r="E314" i="1" l="1"/>
  <c r="F314" i="1" s="1"/>
  <c r="E65" i="1"/>
  <c r="E68" i="1" s="1"/>
  <c r="E6" i="1" s="1"/>
  <c r="F6" i="1" s="1"/>
  <c r="E317" i="1"/>
  <c r="E365" i="1" s="1"/>
  <c r="H297" i="1"/>
  <c r="G301" i="1"/>
  <c r="G312" i="1" s="1"/>
  <c r="F365" i="1" l="1"/>
  <c r="F317" i="1"/>
  <c r="E32" i="1"/>
  <c r="G314" i="1"/>
  <c r="G65" i="1"/>
  <c r="H301" i="1"/>
  <c r="J297" i="1"/>
  <c r="F32" i="1"/>
  <c r="J301" i="1" l="1"/>
  <c r="H312" i="1"/>
  <c r="H65" i="1" l="1"/>
  <c r="J312" i="1"/>
  <c r="H317" i="1"/>
  <c r="H314" i="1"/>
  <c r="G317" i="1" l="1"/>
  <c r="J317" i="1"/>
  <c r="J314" i="1"/>
  <c r="J65" i="1"/>
  <c r="G747" i="1" l="1"/>
  <c r="G80" i="1" s="1"/>
  <c r="H745" i="1"/>
  <c r="J745" i="1" s="1"/>
  <c r="G18" i="1" l="1"/>
  <c r="G776" i="1"/>
  <c r="H747" i="1"/>
  <c r="J747" i="1" l="1"/>
  <c r="H80" i="1"/>
  <c r="H776" i="1"/>
  <c r="J776" i="1" l="1"/>
  <c r="J80" i="1"/>
  <c r="H18" i="1"/>
  <c r="J18" i="1" s="1"/>
  <c r="H92" i="1"/>
  <c r="J92" i="1" s="1"/>
  <c r="H103" i="1"/>
  <c r="J103" i="1" s="1"/>
  <c r="G92" i="1"/>
  <c r="J416" i="1"/>
  <c r="G427" i="1" l="1"/>
  <c r="G103" i="1"/>
  <c r="G442" i="1" l="1"/>
  <c r="H427" i="1"/>
  <c r="J427" i="1" s="1"/>
  <c r="H442" i="1" l="1"/>
  <c r="J442" i="1" s="1"/>
  <c r="J506" i="1" l="1"/>
  <c r="H106" i="1"/>
  <c r="J106" i="1" s="1"/>
  <c r="H95" i="1"/>
  <c r="G106" i="1"/>
  <c r="G505" i="1" l="1"/>
  <c r="G507" i="1" s="1"/>
  <c r="H97" i="1"/>
  <c r="J97" i="1" s="1"/>
  <c r="J95" i="1"/>
  <c r="G107" i="1"/>
  <c r="G96" i="1"/>
  <c r="G95" i="1"/>
  <c r="G515" i="1" l="1"/>
  <c r="H515" i="1" s="1"/>
  <c r="J515" i="1" s="1"/>
  <c r="H100" i="1"/>
  <c r="J100" i="1" s="1"/>
  <c r="G97" i="1"/>
  <c r="G100" i="1" s="1"/>
  <c r="H505" i="1"/>
  <c r="G517" i="1" l="1"/>
  <c r="G640" i="1" s="1"/>
  <c r="H517" i="1"/>
  <c r="J517" i="1" s="1"/>
  <c r="J505" i="1"/>
  <c r="J507" i="1" s="1"/>
  <c r="H507" i="1"/>
  <c r="G76" i="1" l="1"/>
  <c r="G102" i="1"/>
  <c r="G108" i="1" s="1"/>
  <c r="G112" i="1" s="1"/>
  <c r="G14" i="1" l="1"/>
  <c r="G772" i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l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J701" i="1"/>
  <c r="G701" i="1"/>
  <c r="H703" i="1"/>
  <c r="J703" i="1" s="1"/>
  <c r="G700" i="1"/>
  <c r="G703" i="1" s="1"/>
  <c r="J700" i="1"/>
  <c r="G78" i="1" l="1"/>
  <c r="H705" i="1"/>
  <c r="J705" i="1" s="1"/>
  <c r="H78" i="1"/>
  <c r="G705" i="1" l="1"/>
  <c r="J78" i="1"/>
  <c r="H16" i="1"/>
  <c r="J16" i="1" s="1"/>
  <c r="G774" i="1"/>
  <c r="G16" i="1"/>
  <c r="H774" i="1" l="1"/>
  <c r="J774" i="1" l="1"/>
  <c r="J870" i="1" l="1"/>
  <c r="H711" i="1" l="1"/>
  <c r="J711" i="1" s="1"/>
  <c r="H712" i="1"/>
  <c r="J712" i="1" s="1"/>
  <c r="H741" i="1"/>
  <c r="G741" i="1"/>
  <c r="G79" i="1" s="1"/>
  <c r="G775" i="1" l="1"/>
  <c r="G17" i="1"/>
  <c r="H79" i="1"/>
  <c r="J741" i="1"/>
  <c r="J713" i="1"/>
  <c r="J79" i="1" l="1"/>
  <c r="H17" i="1"/>
  <c r="J17" i="1" s="1"/>
  <c r="G777" i="1"/>
  <c r="G781" i="1" s="1"/>
  <c r="G786" i="1" s="1"/>
  <c r="H775" i="1"/>
  <c r="J775" i="1" l="1"/>
  <c r="G809" i="1"/>
  <c r="G818" i="1" s="1"/>
  <c r="G824" i="1" s="1"/>
  <c r="G825" i="1" s="1"/>
  <c r="G827" i="1" s="1"/>
  <c r="G829" i="1" s="1"/>
  <c r="G832" i="1" s="1"/>
  <c r="G836" i="1" s="1"/>
  <c r="G765" i="1" s="1"/>
  <c r="G839" i="1"/>
  <c r="G845" i="1" s="1"/>
  <c r="G863" i="1" l="1"/>
  <c r="G868" i="1" s="1"/>
  <c r="G869" i="1" s="1"/>
  <c r="G871" i="1" s="1"/>
  <c r="G872" i="1" s="1"/>
  <c r="G875" i="1" s="1"/>
  <c r="G766" i="1" s="1"/>
  <c r="G850" i="1"/>
  <c r="G851" i="1" s="1"/>
  <c r="G853" i="1" l="1"/>
  <c r="G854" i="1" s="1"/>
  <c r="G857" i="1" s="1"/>
  <c r="G860" i="1" s="1"/>
  <c r="G764" i="1" s="1"/>
  <c r="G767" i="1" s="1"/>
  <c r="G84" i="1" s="1"/>
  <c r="G22" i="1" s="1"/>
  <c r="H341" i="1" l="1"/>
  <c r="J341" i="1" l="1"/>
  <c r="H349" i="1"/>
  <c r="J349" i="1" s="1"/>
  <c r="H347" i="1"/>
  <c r="J347" i="1" s="1"/>
  <c r="H346" i="1"/>
  <c r="H353" i="1" s="1"/>
  <c r="H357" i="1" l="1"/>
  <c r="G353" i="1"/>
  <c r="J353" i="1"/>
  <c r="J346" i="1"/>
  <c r="H365" i="1" l="1"/>
  <c r="G357" i="1"/>
  <c r="G66" i="1" s="1"/>
  <c r="G68" i="1" s="1"/>
  <c r="G6" i="1" s="1"/>
  <c r="G32" i="1" s="1"/>
  <c r="H66" i="1"/>
  <c r="J357" i="1"/>
  <c r="J66" i="1" l="1"/>
  <c r="H68" i="1"/>
  <c r="J365" i="1"/>
  <c r="G365" i="1"/>
  <c r="J68" i="1" l="1"/>
  <c r="H6" i="1"/>
  <c r="J6" i="1" l="1"/>
  <c r="H32" i="1"/>
  <c r="J32" i="1" l="1"/>
  <c r="H596" i="1"/>
  <c r="J596" i="1" s="1"/>
  <c r="H597" i="1"/>
  <c r="J597" i="1" s="1"/>
  <c r="D601" i="1"/>
  <c r="F601" i="1" s="1"/>
  <c r="H601" i="1" s="1"/>
  <c r="J601" i="1" s="1"/>
  <c r="D640" i="1" l="1"/>
  <c r="D102" i="1" s="1"/>
  <c r="D108" i="1" s="1"/>
  <c r="D76" i="1" l="1"/>
  <c r="D772" i="1" s="1"/>
  <c r="F640" i="1"/>
  <c r="H640" i="1" s="1"/>
  <c r="H102" i="1" s="1"/>
  <c r="F102" i="1"/>
  <c r="D14" i="1"/>
  <c r="F14" i="1" s="1"/>
  <c r="D777" i="1"/>
  <c r="F76" i="1"/>
  <c r="D112" i="1"/>
  <c r="F108" i="1"/>
  <c r="F112" i="1" s="1"/>
  <c r="H76" i="1" l="1"/>
  <c r="J640" i="1"/>
  <c r="J102" i="1"/>
  <c r="H108" i="1"/>
  <c r="I779" i="1"/>
  <c r="D781" i="1"/>
  <c r="D786" i="1" s="1"/>
  <c r="H14" i="1"/>
  <c r="J14" i="1" s="1"/>
  <c r="J76" i="1"/>
  <c r="F772" i="1"/>
  <c r="E772" i="1" l="1"/>
  <c r="H772" i="1"/>
  <c r="F777" i="1"/>
  <c r="D809" i="1"/>
  <c r="D818" i="1" s="1"/>
  <c r="D824" i="1" s="1"/>
  <c r="D825" i="1" s="1"/>
  <c r="D827" i="1" s="1"/>
  <c r="D829" i="1" s="1"/>
  <c r="D832" i="1" s="1"/>
  <c r="D839" i="1"/>
  <c r="D845" i="1" s="1"/>
  <c r="J779" i="1"/>
  <c r="I781" i="1"/>
  <c r="I786" i="1" s="1"/>
  <c r="I839" i="1" s="1"/>
  <c r="H112" i="1"/>
  <c r="J112" i="1" s="1"/>
  <c r="J108" i="1"/>
  <c r="I845" i="1" l="1"/>
  <c r="I863" i="1" s="1"/>
  <c r="I809" i="1"/>
  <c r="I818" i="1" s="1"/>
  <c r="I824" i="1" s="1"/>
  <c r="I825" i="1" s="1"/>
  <c r="I827" i="1" s="1"/>
  <c r="I829" i="1" s="1"/>
  <c r="I832" i="1" s="1"/>
  <c r="D863" i="1"/>
  <c r="D868" i="1" s="1"/>
  <c r="D869" i="1" s="1"/>
  <c r="D871" i="1" s="1"/>
  <c r="D872" i="1" s="1"/>
  <c r="D875" i="1" s="1"/>
  <c r="D766" i="1" s="1"/>
  <c r="D850" i="1"/>
  <c r="D836" i="1"/>
  <c r="D765" i="1" s="1"/>
  <c r="F781" i="1"/>
  <c r="E777" i="1"/>
  <c r="J772" i="1"/>
  <c r="H777" i="1"/>
  <c r="J777" i="1" s="1"/>
  <c r="D853" i="1" l="1"/>
  <c r="D854" i="1" s="1"/>
  <c r="D857" i="1" s="1"/>
  <c r="D851" i="1"/>
  <c r="H781" i="1"/>
  <c r="F786" i="1"/>
  <c r="E781" i="1"/>
  <c r="I836" i="1"/>
  <c r="I765" i="1" s="1"/>
  <c r="I850" i="1"/>
  <c r="I868" i="1"/>
  <c r="I869" i="1" s="1"/>
  <c r="I871" i="1" s="1"/>
  <c r="I872" i="1" s="1"/>
  <c r="I851" i="1" l="1"/>
  <c r="I853" i="1" s="1"/>
  <c r="I854" i="1" s="1"/>
  <c r="I857" i="1" s="1"/>
  <c r="I788" i="1" s="1"/>
  <c r="I875" i="1"/>
  <c r="I766" i="1" s="1"/>
  <c r="D860" i="1"/>
  <c r="D764" i="1" s="1"/>
  <c r="D767" i="1" s="1"/>
  <c r="D84" i="1" s="1"/>
  <c r="D22" i="1" s="1"/>
  <c r="D788" i="1"/>
  <c r="D790" i="1" s="1"/>
  <c r="D792" i="1" s="1"/>
  <c r="D796" i="1" s="1"/>
  <c r="D806" i="1" s="1"/>
  <c r="D761" i="1" s="1"/>
  <c r="F839" i="1"/>
  <c r="F845" i="1" s="1"/>
  <c r="E786" i="1"/>
  <c r="F809" i="1"/>
  <c r="F818" i="1" s="1"/>
  <c r="J781" i="1"/>
  <c r="H786" i="1"/>
  <c r="H839" i="1" s="1"/>
  <c r="D83" i="1" l="1"/>
  <c r="J839" i="1"/>
  <c r="J845" i="1" s="1"/>
  <c r="J850" i="1" s="1"/>
  <c r="J851" i="1" s="1"/>
  <c r="J853" i="1" s="1"/>
  <c r="J854" i="1" s="1"/>
  <c r="J857" i="1" s="1"/>
  <c r="J860" i="1" s="1"/>
  <c r="H845" i="1"/>
  <c r="H850" i="1" s="1"/>
  <c r="H851" i="1" s="1"/>
  <c r="H853" i="1" s="1"/>
  <c r="H854" i="1" s="1"/>
  <c r="I790" i="1"/>
  <c r="I792" i="1" s="1"/>
  <c r="I796" i="1" s="1"/>
  <c r="I860" i="1"/>
  <c r="I764" i="1" s="1"/>
  <c r="I767" i="1" s="1"/>
  <c r="I84" i="1" s="1"/>
  <c r="I22" i="1" s="1"/>
  <c r="I806" i="1"/>
  <c r="I83" i="1" s="1"/>
  <c r="E839" i="1"/>
  <c r="E809" i="1"/>
  <c r="J786" i="1"/>
  <c r="H809" i="1"/>
  <c r="F850" i="1"/>
  <c r="F851" i="1" s="1"/>
  <c r="E845" i="1"/>
  <c r="F863" i="1"/>
  <c r="D21" i="1"/>
  <c r="D85" i="1"/>
  <c r="F824" i="1"/>
  <c r="E818" i="1"/>
  <c r="J809" i="1" l="1"/>
  <c r="H818" i="1"/>
  <c r="I761" i="1"/>
  <c r="F825" i="1"/>
  <c r="E824" i="1"/>
  <c r="E850" i="1"/>
  <c r="D23" i="1"/>
  <c r="D86" i="1"/>
  <c r="F868" i="1"/>
  <c r="E863" i="1"/>
  <c r="I85" i="1"/>
  <c r="I21" i="1"/>
  <c r="I23" i="1" l="1"/>
  <c r="I86" i="1"/>
  <c r="F869" i="1"/>
  <c r="F871" i="1" s="1"/>
  <c r="F872" i="1" s="1"/>
  <c r="F875" i="1" s="1"/>
  <c r="F766" i="1" s="1"/>
  <c r="E868" i="1"/>
  <c r="E869" i="1" s="1"/>
  <c r="E871" i="1" s="1"/>
  <c r="E872" i="1" s="1"/>
  <c r="E875" i="1" s="1"/>
  <c r="E766" i="1" s="1"/>
  <c r="D24" i="1"/>
  <c r="D88" i="1"/>
  <c r="D26" i="1" s="1"/>
  <c r="H824" i="1"/>
  <c r="F853" i="1"/>
  <c r="F854" i="1" s="1"/>
  <c r="E851" i="1"/>
  <c r="H863" i="1"/>
  <c r="F827" i="1"/>
  <c r="F829" i="1" s="1"/>
  <c r="E825" i="1"/>
  <c r="E827" i="1" s="1"/>
  <c r="J863" i="1" l="1"/>
  <c r="H868" i="1"/>
  <c r="J824" i="1"/>
  <c r="H825" i="1"/>
  <c r="D33" i="1"/>
  <c r="D35" i="1" s="1"/>
  <c r="D38" i="1" s="1"/>
  <c r="D44" i="1" s="1"/>
  <c r="D27" i="1"/>
  <c r="I24" i="1"/>
  <c r="I88" i="1"/>
  <c r="I26" i="1" s="1"/>
  <c r="I33" i="1" s="1"/>
  <c r="E853" i="1"/>
  <c r="E829" i="1"/>
  <c r="F832" i="1"/>
  <c r="I35" i="1" l="1"/>
  <c r="I38" i="1" s="1"/>
  <c r="E854" i="1"/>
  <c r="F857" i="1"/>
  <c r="H827" i="1"/>
  <c r="J825" i="1"/>
  <c r="J868" i="1"/>
  <c r="H869" i="1"/>
  <c r="D49" i="1"/>
  <c r="F836" i="1"/>
  <c r="F765" i="1" s="1"/>
  <c r="F788" i="1"/>
  <c r="E832" i="1"/>
  <c r="E836" i="1" s="1"/>
  <c r="E765" i="1" s="1"/>
  <c r="I44" i="1" l="1"/>
  <c r="I49" i="1" s="1"/>
  <c r="H871" i="1"/>
  <c r="J869" i="1"/>
  <c r="F860" i="1"/>
  <c r="E857" i="1"/>
  <c r="E788" i="1"/>
  <c r="F790" i="1"/>
  <c r="H829" i="1"/>
  <c r="J827" i="1"/>
  <c r="E790" i="1" l="1"/>
  <c r="F792" i="1"/>
  <c r="F764" i="1"/>
  <c r="F767" i="1" s="1"/>
  <c r="F84" i="1" s="1"/>
  <c r="E860" i="1"/>
  <c r="E764" i="1" s="1"/>
  <c r="E767" i="1" s="1"/>
  <c r="E84" i="1" s="1"/>
  <c r="E22" i="1" s="1"/>
  <c r="F22" i="1" s="1"/>
  <c r="J829" i="1"/>
  <c r="H832" i="1"/>
  <c r="H872" i="1"/>
  <c r="J871" i="1"/>
  <c r="H857" i="1"/>
  <c r="H860" i="1" l="1"/>
  <c r="H875" i="1"/>
  <c r="H766" i="1" s="1"/>
  <c r="J872" i="1"/>
  <c r="J875" i="1" s="1"/>
  <c r="J832" i="1"/>
  <c r="H836" i="1"/>
  <c r="H765" i="1" s="1"/>
  <c r="H788" i="1"/>
  <c r="E792" i="1"/>
  <c r="E796" i="1" s="1"/>
  <c r="F796" i="1"/>
  <c r="F806" i="1" s="1"/>
  <c r="H790" i="1" l="1"/>
  <c r="J788" i="1"/>
  <c r="J790" i="1" s="1"/>
  <c r="J792" i="1" s="1"/>
  <c r="J796" i="1" s="1"/>
  <c r="J806" i="1" s="1"/>
  <c r="J766" i="1"/>
  <c r="J836" i="1"/>
  <c r="G788" i="1"/>
  <c r="G790" i="1" s="1"/>
  <c r="G792" i="1" s="1"/>
  <c r="G796" i="1" s="1"/>
  <c r="G806" i="1" s="1"/>
  <c r="G761" i="1" s="1"/>
  <c r="H761" i="1" s="1"/>
  <c r="E806" i="1"/>
  <c r="F761" i="1"/>
  <c r="F83" i="1"/>
  <c r="F85" i="1" s="1"/>
  <c r="F86" i="1" s="1"/>
  <c r="F88" i="1" s="1"/>
  <c r="H764" i="1"/>
  <c r="H767" i="1" s="1"/>
  <c r="H84" i="1" s="1"/>
  <c r="H22" i="1" s="1"/>
  <c r="J22" i="1" s="1"/>
  <c r="J764" i="1"/>
  <c r="J765" i="1" l="1"/>
  <c r="J767" i="1" s="1"/>
  <c r="J84" i="1" s="1"/>
  <c r="H792" i="1"/>
  <c r="E761" i="1"/>
  <c r="E83" i="1"/>
  <c r="J761" i="1"/>
  <c r="G83" i="1"/>
  <c r="G21" i="1" l="1"/>
  <c r="G85" i="1"/>
  <c r="E85" i="1"/>
  <c r="E21" i="1"/>
  <c r="F21" i="1" s="1"/>
  <c r="H796" i="1"/>
  <c r="H806" i="1" s="1"/>
  <c r="H83" i="1" s="1"/>
  <c r="J83" i="1" l="1"/>
  <c r="J85" i="1" s="1"/>
  <c r="J86" i="1" s="1"/>
  <c r="H21" i="1"/>
  <c r="J21" i="1" s="1"/>
  <c r="H85" i="1"/>
  <c r="E23" i="1"/>
  <c r="F23" i="1" s="1"/>
  <c r="E86" i="1"/>
  <c r="G23" i="1"/>
  <c r="G86" i="1"/>
  <c r="H23" i="1" l="1"/>
  <c r="J23" i="1" s="1"/>
  <c r="H86" i="1"/>
  <c r="G88" i="1"/>
  <c r="G26" i="1" s="1"/>
  <c r="G33" i="1" s="1"/>
  <c r="G35" i="1" s="1"/>
  <c r="G38" i="1" s="1"/>
  <c r="G24" i="1"/>
  <c r="E88" i="1"/>
  <c r="E26" i="1" s="1"/>
  <c r="F26" i="1" s="1"/>
  <c r="E24" i="1"/>
  <c r="F24" i="1" s="1"/>
  <c r="G44" i="1" l="1"/>
  <c r="G49" i="1" s="1"/>
  <c r="F33" i="1"/>
  <c r="F27" i="1"/>
  <c r="H24" i="1"/>
  <c r="J24" i="1" s="1"/>
  <c r="H88" i="1"/>
  <c r="H26" i="1" l="1"/>
  <c r="J88" i="1"/>
  <c r="E33" i="1"/>
  <c r="E35" i="1" s="1"/>
  <c r="E38" i="1" s="1"/>
  <c r="E44" i="1" s="1"/>
  <c r="F35" i="1"/>
  <c r="E49" i="1" l="1"/>
  <c r="F49" i="1" s="1"/>
  <c r="F38" i="1"/>
  <c r="F44" i="1" s="1"/>
  <c r="J26" i="1"/>
  <c r="J27" i="1" s="1"/>
  <c r="H33" i="1"/>
  <c r="J33" i="1" s="1"/>
  <c r="H35" i="1" l="1"/>
  <c r="H38" i="1" l="1"/>
  <c r="J35" i="1"/>
  <c r="J38" i="1" l="1"/>
  <c r="J44" i="1" s="1"/>
  <c r="H44" i="1"/>
  <c r="H49" i="1" s="1"/>
  <c r="J49" i="1" s="1"/>
  <c r="J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22" authorId="0" shapeId="0" xr:uid="{55D2120D-8538-42B7-96F7-3214A3A7B8C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Bridger, Valmy, Boarmand Coal </t>
        </r>
      </text>
    </comment>
    <comment ref="B332" authorId="0" shapeId="0" xr:uid="{B754BBB9-525F-47DE-BE0F-4A16D08A6F45}">
      <text>
        <r>
          <rPr>
            <b/>
            <sz val="9"/>
            <color indexed="81"/>
            <rFont val="Tahoma"/>
            <family val="2"/>
          </rPr>
          <t>(IPUC Order No. 33313, OPUC Order No. 15-184, FERC Order No. 20150617-3060)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<sst xmlns="http://schemas.openxmlformats.org/spreadsheetml/2006/main" count="1292" uniqueCount="611">
  <si>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</si>
  <si>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</si>
  <si>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</si>
  <si>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</si>
  <si>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</si>
  <si>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</si>
  <si>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</si>
  <si>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</si>
  <si>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</si>
  <si>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2024 Actual</t>
  </si>
  <si>
    <t>Test Year</t>
  </si>
  <si>
    <t>2025 Unadjusted</t>
  </si>
  <si>
    <t>Annualizing</t>
  </si>
  <si>
    <t>Description</t>
  </si>
  <si>
    <t>Actual</t>
  </si>
  <si>
    <t>Adjustments</t>
  </si>
  <si>
    <t>Base</t>
  </si>
  <si>
    <t>Adjustment</t>
  </si>
  <si>
    <t xml:space="preserve">SUMMARY OF RESULTS </t>
  </si>
  <si>
    <t>RATE OF RETURN UNDER PRESENT RATES</t>
  </si>
  <si>
    <t>TOTAL COMBINED RATE BASE</t>
  </si>
  <si>
    <t>OPERATING REVENUES</t>
  </si>
  <si>
    <t xml:space="preserve">  </t>
  </si>
  <si>
    <t>FIRM JURISDICTIONAL SALES</t>
  </si>
  <si>
    <t>SYSTEM OPPORTUNITY SALES</t>
  </si>
  <si>
    <t>OTHER OPERATING REVENUES</t>
  </si>
  <si>
    <t>TOTAL OPERATING REVENUES</t>
  </si>
  <si>
    <t>OPERATING EXPENSES</t>
  </si>
  <si>
    <t>OPERATION &amp; MAINTENANCE EXPENSES</t>
  </si>
  <si>
    <t>DEPRECIATION EXPENSE</t>
  </si>
  <si>
    <t>AMORTIZATION OF LIMITED TERM PLANT</t>
  </si>
  <si>
    <t>TAXES OTHER THAN INCOME</t>
  </si>
  <si>
    <t>REGULATORY DEBITS/CREDITS</t>
  </si>
  <si>
    <t>PROVISION FOR DEFERRED INCOME TAXES</t>
  </si>
  <si>
    <t>INVESTMENT TAX CREDIT ADJUSTMENT</t>
  </si>
  <si>
    <t>FEDERAL INCOME TAXES</t>
  </si>
  <si>
    <t>STATE INCOME TAXES</t>
  </si>
  <si>
    <t>TOTAL OPERATING EXPENSES</t>
  </si>
  <si>
    <t>OPERATING INCOME</t>
  </si>
  <si>
    <t>ADD:  IERCO OPERATING INCOME</t>
  </si>
  <si>
    <t>CONSOLIDATED OPERATING INCOME</t>
  </si>
  <si>
    <t xml:space="preserve"> </t>
  </si>
  <si>
    <t>DEVELOPMENT OF REVENUE REQUIREMENTS</t>
  </si>
  <si>
    <r>
      <t xml:space="preserve">RATE OF RETURN @ </t>
    </r>
    <r>
      <rPr>
        <b/>
        <sz val="8"/>
        <color theme="1"/>
        <rFont val="Arial"/>
        <family val="2"/>
      </rPr>
      <t>10.4%</t>
    </r>
    <r>
      <rPr>
        <sz val="8"/>
        <color theme="1"/>
        <rFont val="Arial"/>
        <family val="2"/>
      </rPr>
      <t xml:space="preserve"> ROE</t>
    </r>
  </si>
  <si>
    <t>RETURN</t>
  </si>
  <si>
    <t>EARNINGS DEFICIENCY</t>
  </si>
  <si>
    <t>ADD: OTHER</t>
  </si>
  <si>
    <t>EARNINGS DEFICIENCY WITH OTHER</t>
  </si>
  <si>
    <t>NET-TO-GROSS TAX MULTIPLIER</t>
  </si>
  <si>
    <t>REVENUE DEFICIENCY</t>
  </si>
  <si>
    <t xml:space="preserve">   ADD: CWIP - HCC RELICENSING AFUDC (IDAHO)</t>
  </si>
  <si>
    <t>ADD: VALMY LEVELIZED REVENUE REQUIREMENT</t>
  </si>
  <si>
    <t>ADD: BRIDGER LEVELIZED REVENUE REQUIREMENT</t>
  </si>
  <si>
    <t xml:space="preserve">LESS: EMPLOYEE HOUSING AND TRAILER REV REQ </t>
  </si>
  <si>
    <t>REVENUE DEFICIENCY WITH HCC AFUDC, VALMY, AND BRIDGER</t>
  </si>
  <si>
    <t>FIRM JURISDICTIONAL RETAIL REVENUES</t>
  </si>
  <si>
    <t>PERCENT INCREASE REQUIRED</t>
  </si>
  <si>
    <t>SALES AND WHEELING REVENUES REQUIRED</t>
  </si>
  <si>
    <t>SUMMARY OF RESULTS</t>
  </si>
  <si>
    <t>DEVELOPMENT OF RATE BASE COMPONENTS</t>
  </si>
  <si>
    <t>ELECTRIC PLANT IN SERVICE</t>
  </si>
  <si>
    <t>INTANGIBLE PLANT</t>
  </si>
  <si>
    <t>PRODUCTION PLANT</t>
  </si>
  <si>
    <t>TRANSMISSION PLANT</t>
  </si>
  <si>
    <t>DISTRIBUTION PLANT</t>
  </si>
  <si>
    <t>GENERAL PLANT</t>
  </si>
  <si>
    <t/>
  </si>
  <si>
    <t>TOTAL ELECTRIC PLANT IN SERVICE</t>
  </si>
  <si>
    <t>LESS: ACCUM PROVISION FOR DEPRECIATION</t>
  </si>
  <si>
    <t xml:space="preserve">           AMORT OF OTHER UTILITY PLANT</t>
  </si>
  <si>
    <t>NET ELECTRIC PLANT IN SERVICE</t>
  </si>
  <si>
    <t>LESS: CUSTOMER ADV FOR CONSTRUCTION</t>
  </si>
  <si>
    <t>LESS: ACCUM DEFERRED INCOME TAXES</t>
  </si>
  <si>
    <t>ADD : PLT HLD FOR FUTURE+ACQUIS ADJ</t>
  </si>
  <si>
    <t>ADD : WORKING CAPITAL</t>
  </si>
  <si>
    <t>ADD : CONSERVATION+OTHER DFRD PROG.</t>
  </si>
  <si>
    <t>ADD : SUBSIDIARY RATE BASE</t>
  </si>
  <si>
    <t>TOTAL COMBINED  RATE BASE</t>
  </si>
  <si>
    <t>DEVELOPMENT OF NET INCOME COMPONENTS</t>
  </si>
  <si>
    <t xml:space="preserve">  SALES REVENUES</t>
  </si>
  <si>
    <t xml:space="preserve">  OTHER OPERATING REVENUES</t>
  </si>
  <si>
    <t xml:space="preserve">  TOTAL OPERATING REVENUES</t>
  </si>
  <si>
    <t xml:space="preserve"> OPERATION &amp; MAINTENANCE EXPENSES</t>
  </si>
  <si>
    <t xml:space="preserve"> DEPRECIATION EXPENSE</t>
  </si>
  <si>
    <t xml:space="preserve"> AMORTIZATION OF LIMITED TERM PLANT</t>
  </si>
  <si>
    <t xml:space="preserve"> TAXES OTHER THAN INCOME</t>
  </si>
  <si>
    <t xml:space="preserve"> PROVISION FOR DEFERRED INCOME TAXES</t>
  </si>
  <si>
    <t xml:space="preserve"> INVESTMENT TAX CREDIT ADJUSTMENT</t>
  </si>
  <si>
    <t xml:space="preserve"> FEDERAL INCOME TAXES</t>
  </si>
  <si>
    <t xml:space="preserve"> STATE INCOME TAXES</t>
  </si>
  <si>
    <t>NET POWER SUPPLY COSTS:</t>
  </si>
  <si>
    <t>ACCT 447/SURPLUS SALES + LOSS REV</t>
  </si>
  <si>
    <t>ACCT 501/FUEL-THERMAL PLANTS</t>
  </si>
  <si>
    <t>ACCT 547/FUEL - DIESEL+OTHER</t>
  </si>
  <si>
    <t>ACCT 555/NON-FIRM PURCHASES+LOSSES</t>
  </si>
  <si>
    <t>ACCT 555/DEMAND RESPONSE INCENTIVES</t>
  </si>
  <si>
    <t>ACCT 555/CSPP PURCHASES</t>
  </si>
  <si>
    <t xml:space="preserve">                    SUBTOTAL</t>
  </si>
  <si>
    <t>ACCT 577/BATTERY STORAGE RENTS</t>
  </si>
  <si>
    <t>ACCT 565/TRANS OF ELECTRICTY BY OTHERS</t>
  </si>
  <si>
    <t>TOTAL NET POWER SUPPLY COSTS</t>
  </si>
  <si>
    <t>OTHER O&amp;M</t>
  </si>
  <si>
    <t>TOTAL O&amp;M EXPENSES</t>
  </si>
  <si>
    <t>LESS:   ACCT 501/FUEL - THERMAL PLANTS</t>
  </si>
  <si>
    <t xml:space="preserve">             ACCT 547/FUEL - DIESEL+OTHER</t>
  </si>
  <si>
    <t xml:space="preserve">             ACCT 555/NON-FIRM PURCHASES+LOSSES</t>
  </si>
  <si>
    <t xml:space="preserve">             ACCT 555/DEMAND RESPONSE INCENTIVES</t>
  </si>
  <si>
    <t xml:space="preserve">             ACCT 555/CSPP PURCHASES</t>
  </si>
  <si>
    <t xml:space="preserve">             ACCT 577/BATTERY STORAGE RENTS</t>
  </si>
  <si>
    <t xml:space="preserve">             ACCT 565/TRANS OF ELECTRICTY BY OTHERS</t>
  </si>
  <si>
    <t xml:space="preserve">             ACCT 416/MERCHANDISING EXPENSE</t>
  </si>
  <si>
    <t xml:space="preserve">   NET OTHER O&amp;M</t>
  </si>
  <si>
    <t>TABLE 1-ELECTRIC PLANT IN SERVICE</t>
  </si>
  <si>
    <t>301 - ORGANIZATION</t>
  </si>
  <si>
    <t>302 - FRANCHISES &amp; CONSENTS</t>
  </si>
  <si>
    <t>303 - MISCELLANEOUS</t>
  </si>
  <si>
    <t>TOTAL INTANGIBLE PLANT</t>
  </si>
  <si>
    <t>310-316 / STEAM PRODUCTION</t>
  </si>
  <si>
    <t>330-336 / HYDRAULIC PRODUCTION</t>
  </si>
  <si>
    <t>340-346 / OTHER PRODUCTION-BASELOAD</t>
  </si>
  <si>
    <t>340-346 / OTHER PRODUCTION-PEAKERS</t>
  </si>
  <si>
    <t>TOTAL PRODUCTION PLANT</t>
  </si>
  <si>
    <t>350 / LAND &amp; LAND RIGHTS - SYSTEM SERVICE</t>
  </si>
  <si>
    <t>DIRECT ASSIGNMENT</t>
  </si>
  <si>
    <t xml:space="preserve">  TOTAL ACCOUNT 350</t>
  </si>
  <si>
    <t>352 / STRUCTURES &amp; IMPROVEMENTS - SYSTEM SERVICE</t>
  </si>
  <si>
    <t xml:space="preserve">  TOTAL ACCOUNT 352</t>
  </si>
  <si>
    <t>353 / STATION EQUIPMENT - SYSTEM SERVICE</t>
  </si>
  <si>
    <t xml:space="preserve">  TOTAL ACCOUNT 353</t>
  </si>
  <si>
    <t>354 / TOWERS &amp; FIXTURES - SYSTEM SERVICE</t>
  </si>
  <si>
    <t xml:space="preserve">  TOTAL ACCOUNT 354</t>
  </si>
  <si>
    <t>355 / POLES &amp; FIXTURES - SYSTEM SERVICE</t>
  </si>
  <si>
    <t xml:space="preserve">  TOTAL ACCOUNT 355</t>
  </si>
  <si>
    <t>356 / OVERHEAD CONDUCTORS &amp; DEVICES - SYSTEM SERVICE</t>
  </si>
  <si>
    <t xml:space="preserve">  TOTAL ACCOUNT 356</t>
  </si>
  <si>
    <t>359 / ROADS &amp; TRAILS - SYSTEM SERVICE</t>
  </si>
  <si>
    <t xml:space="preserve">  TOTAL ACCOUNT 359</t>
  </si>
  <si>
    <t>TOTAL TRANSMISSION PLANT</t>
  </si>
  <si>
    <t>360 / LAND &amp; LAND RIGHTS - SYSTEM SERVICE</t>
  </si>
  <si>
    <t xml:space="preserve">  PLUS: ADJUSTMENT FOR CIAC</t>
  </si>
  <si>
    <t>NET DISTRIBUTION PLANT + CIAC</t>
  </si>
  <si>
    <t>361 / STRUCTURES &amp; IMPROVEMENTS - SYSTEM SERVICE</t>
  </si>
  <si>
    <t>362 / STATION EQUIPMENT - SYSTEM SERVICE</t>
  </si>
  <si>
    <t>363 / STORAGE BATTERY EQUIPMENT - DISTRIBUTION</t>
  </si>
  <si>
    <t>TOTAL BATTERY STORAGE EQUIPMENT</t>
  </si>
  <si>
    <t>364 / POLES, TOWERS &amp; FIXTURES</t>
  </si>
  <si>
    <t>365 / OVERHEAD CONDUCTORS &amp; DEVICES</t>
  </si>
  <si>
    <t>366 / UNDERGROUND CONDUIT</t>
  </si>
  <si>
    <t>367 / UNDERGROUND CONDUCTORS &amp; DEVICES</t>
  </si>
  <si>
    <t>368 / LINE TRANSFORMERS</t>
  </si>
  <si>
    <t>369 / SERVICES</t>
  </si>
  <si>
    <t>370 / METERS</t>
  </si>
  <si>
    <t>371 / INSTALLATIONS ON CUSTOMER PREMISES</t>
  </si>
  <si>
    <t>373 / STREET LIGHTING SYSTEMS</t>
  </si>
  <si>
    <t>TOTAL DISTRIBUTION PLANT</t>
  </si>
  <si>
    <t>387 / ENERGY STORAGE PLANT</t>
  </si>
  <si>
    <t>TOTAL ENERGY STORAGE PLANT</t>
  </si>
  <si>
    <t>389 / LAND &amp; LAND RIGHTS</t>
  </si>
  <si>
    <t>390 / STRUCTURES &amp; IMPROVEMENTS</t>
  </si>
  <si>
    <t>391 / OFFICE FURNITURE &amp; EQUIPMENT</t>
  </si>
  <si>
    <t>392 / TRANSPORTATION EQUIPMENT</t>
  </si>
  <si>
    <t>393 / STORES EQUIPMENT</t>
  </si>
  <si>
    <t>394 / TOOLS, SHOP &amp; GARAGE EQUIPMENT</t>
  </si>
  <si>
    <t>395 / LABORATORY EQUIPMENT</t>
  </si>
  <si>
    <t>396 / POWER OPERATED EQUIPMENT</t>
  </si>
  <si>
    <t>397 / COMMUNICATIONS EQUIPMENT</t>
  </si>
  <si>
    <t>398 / MISCELLANEOUS EQUIPMENT</t>
  </si>
  <si>
    <t>TOTAL GENERAL PLANT</t>
  </si>
  <si>
    <t>TABLE 2-ACCUMULATED PROVISION FOR DEPRECIATION</t>
  </si>
  <si>
    <t>350 / LAND &amp; LAND RIGHTS</t>
  </si>
  <si>
    <t>352 / STRUCTURES &amp; IMPROVEMENTS</t>
  </si>
  <si>
    <t>353 / STATION EQUIPMENT</t>
  </si>
  <si>
    <t>354 / TOWERS &amp; FIXTURES</t>
  </si>
  <si>
    <t>355 / POLES &amp; FIXTURES</t>
  </si>
  <si>
    <t>356 / OVERHEAD CONDUCTORS &amp; DEVICES</t>
  </si>
  <si>
    <t>359 / ROADS &amp; TRAILS</t>
  </si>
  <si>
    <t>360 / LAND &amp; LAND RIGHTS</t>
  </si>
  <si>
    <t>361 / STRUCTURES &amp; IMPROVEMENTS</t>
  </si>
  <si>
    <t>362 / STATION EQUIPMENT</t>
  </si>
  <si>
    <t>363 / STORAGE BATTERY EQUIPMENT</t>
  </si>
  <si>
    <t>AMORTIZATION  OF DISALLOWED COSTS</t>
  </si>
  <si>
    <t>TOTAL ACCUM PROVISION DEPRECIATION</t>
  </si>
  <si>
    <t>AMORTIZATION OF OTHER UTILITY PLANT</t>
  </si>
  <si>
    <t>302/FRANCHISES AND CONSENTS</t>
  </si>
  <si>
    <t>303/MISCELLANEOUS INTANGIBLE PLANT</t>
  </si>
  <si>
    <t>TOTAL AMORT OF OTHER UTILITY PLANT</t>
  </si>
  <si>
    <t>TOTAL ACCUM PROVISION FOR DEPR</t>
  </si>
  <si>
    <t xml:space="preserve">  &amp; AMORTIZATION OF OTHER UTILITY PLANT</t>
  </si>
  <si>
    <t>TABLE 3-ADDITIONS &amp; DEDUCTIONS TO RATEBASE</t>
  </si>
  <si>
    <t>NET  ELECTRIC PLANT IN SERVICE</t>
  </si>
  <si>
    <t>LESS:</t>
  </si>
  <si>
    <t>252 CUSTOMER ADVANCES FOR CONSTRUCTION</t>
  </si>
  <si>
    <t>POWER SUPPLY</t>
  </si>
  <si>
    <t>OTHER</t>
  </si>
  <si>
    <t>TOTAL CUSTOMER ADV FOR CONSTRUCTION</t>
  </si>
  <si>
    <t>ACCUMULATED DEFERRED INCOME TAXES</t>
  </si>
  <si>
    <t>190 / ACCUMULATED DEFERRED INCOME TAXES</t>
  </si>
  <si>
    <t>CUSTOMER ADVANCES FOR CONSTUCTION</t>
  </si>
  <si>
    <t>TOTAL ACCOUNT 190</t>
  </si>
  <si>
    <t>281 / ACCELERATED AMORTIZATION</t>
  </si>
  <si>
    <t>282 / OTHER PROPERTY</t>
  </si>
  <si>
    <t>283 / OTHER</t>
  </si>
  <si>
    <t>TOTAL ACCUM DEFERRED INCOME TAXES</t>
  </si>
  <si>
    <t>ADD:</t>
  </si>
  <si>
    <t>WORKING CAPITAL</t>
  </si>
  <si>
    <t>151 / FUEL INVENTORY</t>
  </si>
  <si>
    <t>154 &amp; 163 / PLANT MATERIALS &amp; SUPPLIES</t>
  </si>
  <si>
    <t xml:space="preserve">   PRODUCTION - GENERAL</t>
  </si>
  <si>
    <t xml:space="preserve">   TRANSMISSION - GENERAL</t>
  </si>
  <si>
    <t xml:space="preserve">   DISTRIBUTION - GENERAL</t>
  </si>
  <si>
    <t xml:space="preserve">   OTHER - UNCLASSIFIED</t>
  </si>
  <si>
    <t>TOTAL ACCOUNT 154 &amp; 163</t>
  </si>
  <si>
    <t>165 / PREPAID ITEMS</t>
  </si>
  <si>
    <t xml:space="preserve">   AD VALOREM TAXES</t>
  </si>
  <si>
    <t xml:space="preserve">   OTHER PROD-RELATED PREPAYMENTS</t>
  </si>
  <si>
    <t xml:space="preserve">   INSURANCE</t>
  </si>
  <si>
    <t xml:space="preserve">   PENSION EXPENSE</t>
  </si>
  <si>
    <t xml:space="preserve">   PREPAID CONTRACTS</t>
  </si>
  <si>
    <t xml:space="preserve">   MISCELLANEOUS PREPAYMENTS</t>
  </si>
  <si>
    <t>TOTAL ACCOUNT 165</t>
  </si>
  <si>
    <t>WORKING CASH ALLOWANCE</t>
  </si>
  <si>
    <t>TOTAL WORKING CAPITAL</t>
  </si>
  <si>
    <t>105 / PLANT HELD FOR FUTURE USE</t>
  </si>
  <si>
    <t xml:space="preserve">   HYDRAULIC PRODUCTION</t>
  </si>
  <si>
    <t xml:space="preserve">   TRANS LAND &amp; LAND RIGHTS</t>
  </si>
  <si>
    <t xml:space="preserve">   TRANS STRUCTURES &amp; IMPROVEMENTS</t>
  </si>
  <si>
    <t xml:space="preserve">   TRANS STATION EQUIPMENT</t>
  </si>
  <si>
    <t xml:space="preserve">   DIST LAND &amp; LAND RIGHTS</t>
  </si>
  <si>
    <t xml:space="preserve">   DIST STRUCTURES &amp; IMPROVEMENTS</t>
  </si>
  <si>
    <t xml:space="preserve">   DIST STATIONS EQUIPMENT</t>
  </si>
  <si>
    <t xml:space="preserve">   GEN LAND &amp; LAND RIGHTS</t>
  </si>
  <si>
    <t xml:space="preserve">   GEN STRUCTURES &amp; IMPROVEMENTS</t>
  </si>
  <si>
    <t xml:space="preserve">   OTHER PRODUCTION LAND &amp; LAND RIGHTS</t>
  </si>
  <si>
    <t>TOTAL PLANT HELD FOR FUTURE USE</t>
  </si>
  <si>
    <t>114/115 - ASSET EXCHANGE ACQUISITION ADJUSTMENT</t>
  </si>
  <si>
    <t>DEFERRED PROGRAMS:</t>
  </si>
  <si>
    <t>182 /  CONSERVATION PROGRAMS</t>
  </si>
  <si>
    <t>IDAHO DEFERRED CONSERVATION PROGRAMS</t>
  </si>
  <si>
    <t>OREGON DEFERRED CONSERVATION PROGRAMS</t>
  </si>
  <si>
    <t xml:space="preserve">   TOTAL CONSERVATION PROGRAMS</t>
  </si>
  <si>
    <t>182&amp;186 / MISC. OTHER REGULATORY ASSETS</t>
  </si>
  <si>
    <t>CUB FUND GRANT (OPUC ORDER 24-006)</t>
  </si>
  <si>
    <t>CUB FUND GRANT (OPUC ORDERS 23-185 &amp; 24-153)</t>
  </si>
  <si>
    <t>AM. FALLS BOND REFINANCING</t>
  </si>
  <si>
    <t>SFAS 87 CAPITALIZED PENSION - OPUC ORDER 10-064</t>
  </si>
  <si>
    <t>CLOUD COMPUTING - (IPUC Order 34707)</t>
  </si>
  <si>
    <t>WILDFIRE MITIGATION (IPUC Order 36042)</t>
  </si>
  <si>
    <t>WILDFIRE MITIGATION (IPUC ORDERS 35077, 35717, 36042)</t>
  </si>
  <si>
    <t>WESTERN RESOURCE ADEQUACY PROGRAM (IPUC ORDER 35920)</t>
  </si>
  <si>
    <t>INTERVENOR FUNDING (IPUC ORDER 36042)</t>
  </si>
  <si>
    <t>INTERVENOR FUNDING AMORT (IPUC ORDER 36042)</t>
  </si>
  <si>
    <t>SIEMENS LTP RATE BASE &amp; DEFERRED RATE BASE (IPUC Order 33420)</t>
  </si>
  <si>
    <t>SIEMENS LTP RATE BASE &amp; DEFERRED RATE BASE (OPUC ORDER 15-387)</t>
  </si>
  <si>
    <t>WILDFIRE MITIGATION (OPUC ORDER 24-010)</t>
  </si>
  <si>
    <t xml:space="preserve">  TOTAL OTHER REGULATORY ASSETS</t>
  </si>
  <si>
    <t>186 / MISC. OTHER DEFERRED PROGRAMS</t>
  </si>
  <si>
    <t>254 / JIM BRIDGER PLANT END OF LIFE DEPR - OPUC ORDER 12-296</t>
  </si>
  <si>
    <t>TOTAL DEFERRED PROGRAMS</t>
  </si>
  <si>
    <t>DEVELOPMENT OF IERCO RATE BASE</t>
  </si>
  <si>
    <t>INVESTMENT IN IERCO</t>
  </si>
  <si>
    <t>PREPAID COAL ROYALTIES</t>
  </si>
  <si>
    <t>NOTES PAYABLE TO/RECEIVABLE FROM SUBSIDIARY</t>
  </si>
  <si>
    <t>TOTAL SUBSIDIARY RATE BASE</t>
  </si>
  <si>
    <t>TABLE 4-OPERATING REVENUES</t>
  </si>
  <si>
    <t>FIRM ENERGY SALES &amp; OATT REFUNDS</t>
  </si>
  <si>
    <t xml:space="preserve">440-448 / RETAIL </t>
  </si>
  <si>
    <t>442 / BASE REVENUE TRANSFER - PCA</t>
  </si>
  <si>
    <t>442 / BASE REVENUE TRANSFER - EE RIDER</t>
  </si>
  <si>
    <t>447 / SYSTEM OPPORTUNITY SALES</t>
  </si>
  <si>
    <t>447.050 / SURPLUS SALES - TRANSMISSION LOSSES</t>
  </si>
  <si>
    <t>TOTAL SALES OF ELECTRICITY</t>
  </si>
  <si>
    <t>415 / MERCHANDISING REVENUES</t>
  </si>
  <si>
    <t>449 / OATT TARIFF REFUND</t>
  </si>
  <si>
    <t xml:space="preserve">  NETWORK</t>
  </si>
  <si>
    <t xml:space="preserve">        OATT TARIFF REFUND - POINT TO POINT</t>
  </si>
  <si>
    <t xml:space="preserve">  POINT-TO-POINT</t>
  </si>
  <si>
    <t>TOTAL ACCOUNT 449</t>
  </si>
  <si>
    <t>451 / MISCELLANEOUS SERVICE REVENUES</t>
  </si>
  <si>
    <t>454 / RENTS FROM ELECTRIC PROPERTY</t>
  </si>
  <si>
    <t xml:space="preserve">  SUBSTATION EQUIPMENT</t>
  </si>
  <si>
    <t xml:space="preserve">  TRANSFORMER RENTALS</t>
  </si>
  <si>
    <t xml:space="preserve">  LINE RENTALS</t>
  </si>
  <si>
    <t xml:space="preserve">  COGENERATION</t>
  </si>
  <si>
    <t xml:space="preserve">  DARK FIBER PROJECT</t>
  </si>
  <si>
    <t xml:space="preserve">  POLE ATTACHMENTS</t>
  </si>
  <si>
    <t xml:space="preserve">  FACILITIES CHARGES</t>
  </si>
  <si>
    <t xml:space="preserve">  OTHER RENTALS</t>
  </si>
  <si>
    <t xml:space="preserve">  WATER LEASE</t>
  </si>
  <si>
    <t>TOTAL ACCOUNT 454</t>
  </si>
  <si>
    <t>456 / OTHER ELECTRIC REVENUES</t>
  </si>
  <si>
    <t xml:space="preserve">  TRANSMISSION NETWORK SERVICES - FIRM</t>
  </si>
  <si>
    <t xml:space="preserve">  TRANSMISSION NETWORK SERVICES - DIST FACILITIES</t>
  </si>
  <si>
    <t xml:space="preserve">  TRANSMISSION - POINT-TO-POINT &amp; OTHER</t>
  </si>
  <si>
    <t xml:space="preserve">  PHOTOVOLTAIC STATION SERVICE</t>
  </si>
  <si>
    <t xml:space="preserve">  ENERGY EFFICIENCY RIDER</t>
  </si>
  <si>
    <t xml:space="preserve">  STANDBY SERVICE CHARGE</t>
  </si>
  <si>
    <t xml:space="preserve">  SIERRA PACIFIC USAGE CHARGE</t>
  </si>
  <si>
    <t xml:space="preserve">  ANTELOPE</t>
  </si>
  <si>
    <t xml:space="preserve">  MISCELLANEOUS</t>
  </si>
  <si>
    <t>TOTAL ACCOUNT 456</t>
  </si>
  <si>
    <t>TOTAL OTHER OPERATING REVENUES</t>
  </si>
  <si>
    <t>TABLE 5-OPERATION &amp; MAINTENANCE EXPENSES</t>
  </si>
  <si>
    <t>STEAM POWER GENERATION</t>
  </si>
  <si>
    <t>OPERATION</t>
  </si>
  <si>
    <t>500 / SUPERVISION &amp; ENGINEERING</t>
  </si>
  <si>
    <t>501 / FUEL</t>
  </si>
  <si>
    <t>502 / STEAM EXPENSES</t>
  </si>
  <si>
    <t>LABOR</t>
  </si>
  <si>
    <t>TOTAL ACCOUNT 502</t>
  </si>
  <si>
    <t>505 / ELECTRIC EXPENSES</t>
  </si>
  <si>
    <t>TOTAL ACCOUNT 505</t>
  </si>
  <si>
    <t>506 / MISCELLANEOUS EXPENSES</t>
  </si>
  <si>
    <t>507 / RENTS</t>
  </si>
  <si>
    <t>STEAM OPERATION EXPENSES</t>
  </si>
  <si>
    <t>MAINTENANCE</t>
  </si>
  <si>
    <t>510 / SUPERVISION &amp; ENGINEERING</t>
  </si>
  <si>
    <t>511  / STRUCTURES</t>
  </si>
  <si>
    <t>512 / BOILER PLANT</t>
  </si>
  <si>
    <t>TOTAL ACCOUNT 512</t>
  </si>
  <si>
    <t>513 / ELECTRIC PLANT</t>
  </si>
  <si>
    <t>TOTAL ACCOUNT 513</t>
  </si>
  <si>
    <t>514 / MISCELLANEOUS STEAM PLANT</t>
  </si>
  <si>
    <t>STEAM MAINTENANCE EXPENSES</t>
  </si>
  <si>
    <t>TOTAL STEAM GENERATION EXPENSES</t>
  </si>
  <si>
    <t>HYDRAULIC POWER GENERATION</t>
  </si>
  <si>
    <t>535 / SUPERVISION &amp; ENGINEERING</t>
  </si>
  <si>
    <t>536 / WATER FOR POWER</t>
  </si>
  <si>
    <t xml:space="preserve">     WATER FOR POWER/WCLOUD SEEDING</t>
  </si>
  <si>
    <t xml:space="preserve">     WATER LEASE</t>
  </si>
  <si>
    <t>TOTAL ACCOUNT 536</t>
  </si>
  <si>
    <t>537 / HYDRAULIC EXPENSES</t>
  </si>
  <si>
    <t>538 / ELECTRIC EXPENSES</t>
  </si>
  <si>
    <t>TOTAL ACCOUNT 538</t>
  </si>
  <si>
    <t>539 / MISCELLANEOUS EXPENSES</t>
  </si>
  <si>
    <t>540 / RENTS</t>
  </si>
  <si>
    <t>HYDRAULIC OPERATION EXPENSES</t>
  </si>
  <si>
    <t>541 / SUPERVISION &amp; ENGINEERING</t>
  </si>
  <si>
    <t>542 / STRUCTURES</t>
  </si>
  <si>
    <t>543 / RESERVOIRS, DAMS &amp; WATERWAYS</t>
  </si>
  <si>
    <t>544 / ELECTRIC PLANT</t>
  </si>
  <si>
    <t>TOTAL ACCOUNT 544</t>
  </si>
  <si>
    <t>545 / MISCELLANEOUS HYDRAULIC PLANT</t>
  </si>
  <si>
    <t>HYDRAULIC MAINTENANCE EXPENSES</t>
  </si>
  <si>
    <t>TOTAL HYDRAULIC GENERATION EXPENSES</t>
  </si>
  <si>
    <t>OTHER POWER GENERATION</t>
  </si>
  <si>
    <t>546 / SUPERVISION &amp; ENGINEERING</t>
  </si>
  <si>
    <t>547 / FUEL</t>
  </si>
  <si>
    <t>DIESEL FUEL</t>
  </si>
  <si>
    <t>TOTAL ACCOUNT 547</t>
  </si>
  <si>
    <t>548 / GENERATING EXPENSES</t>
  </si>
  <si>
    <t>TOTAL ACCOUNT 548</t>
  </si>
  <si>
    <t>549 / MISCELLANEOUS EXPENSES</t>
  </si>
  <si>
    <t>550 / RENTS</t>
  </si>
  <si>
    <t>OTHER POWER OPER EXPENSES</t>
  </si>
  <si>
    <t>551 / SUPERVISION &amp; ENGINEERING</t>
  </si>
  <si>
    <t>552 / STRUCTURES</t>
  </si>
  <si>
    <t>553 / GENERATING &amp; ELECTRIC PLANT</t>
  </si>
  <si>
    <t>TOTAL ACCOUNT 553</t>
  </si>
  <si>
    <t>554 / MISCELLANEOUS EXPENSES</t>
  </si>
  <si>
    <t>OTHER POWER MAINT EXPENSES</t>
  </si>
  <si>
    <t>TOTAL OTHER POWER GENERATION EXP</t>
  </si>
  <si>
    <t>OTHER POWER SUPPLY EXPENSE</t>
  </si>
  <si>
    <t>555.0 / PURCHASED POWER</t>
  </si>
  <si>
    <t>POWER EXPENSE</t>
  </si>
  <si>
    <t>TRANSMISSION LOSSES</t>
  </si>
  <si>
    <t>IDAHO DEMAND RESPONSE INCENTIVE</t>
  </si>
  <si>
    <t>TOTAL 555.0/PURCHASED POWER</t>
  </si>
  <si>
    <t>555.1 / COGENERATION &amp; SMALL POWER PROD</t>
  </si>
  <si>
    <t>555/TOTAL</t>
  </si>
  <si>
    <t>556 / LOAD CONTROL &amp; DISPATCHING EXPENSES</t>
  </si>
  <si>
    <t>557 / OTHER EXPENSES</t>
  </si>
  <si>
    <t xml:space="preserve">   IDAHO POWER COST-RELATED EXPENSES</t>
  </si>
  <si>
    <t xml:space="preserve">   OREGON POWER COST-RELATED EXPENSES</t>
  </si>
  <si>
    <t xml:space="preserve">   OTHER</t>
  </si>
  <si>
    <t xml:space="preserve">  BRIDGER GAAP ADJ</t>
  </si>
  <si>
    <t>557/TOTAL</t>
  </si>
  <si>
    <t>TOTAL OTHER POWER SUPPLY EXPENSES</t>
  </si>
  <si>
    <t>TOTAL PRODUCTION EXPENSES</t>
  </si>
  <si>
    <t>TRANSMISSION EXPENSES</t>
  </si>
  <si>
    <t>560 / SUPERVISION &amp; ENGINEERING</t>
  </si>
  <si>
    <t>561 / LOAD DISPATCHING</t>
  </si>
  <si>
    <t>562 / STATION EXPENSES</t>
  </si>
  <si>
    <t>563 / OVERHEAD LINE EXPENSES</t>
  </si>
  <si>
    <t>565 / TRANSMISSION OF ELECTRICITY BY OTHERS</t>
  </si>
  <si>
    <t>566 / MISCELLANEOUS EXPENSES</t>
  </si>
  <si>
    <t>567 / RENTS</t>
  </si>
  <si>
    <t>TOTAL TRANSMISSION OPERATION</t>
  </si>
  <si>
    <t>568 / SUPERVISION &amp; ENGINEERING</t>
  </si>
  <si>
    <t>569 / STRUCTURES</t>
  </si>
  <si>
    <t>570 / STATION EQUIPMENT</t>
  </si>
  <si>
    <t>571 / OVERHEAD LINES</t>
  </si>
  <si>
    <t>573 / MISCELLANEOUS PLANT</t>
  </si>
  <si>
    <t>TOTAL TRANSMISSION MAINTENANCE</t>
  </si>
  <si>
    <t>TOTAL TRANSMISSION EXPENSES</t>
  </si>
  <si>
    <t>REGIONAL MARKET EXPENSES</t>
  </si>
  <si>
    <t>575 / OPER TRANS MKT ADMIN - EIM</t>
  </si>
  <si>
    <t>TOTAL REGIONAL MARKET EXPENSES</t>
  </si>
  <si>
    <t>ENERGY STORAGE EXPENSES</t>
  </si>
  <si>
    <t xml:space="preserve">577 / ENERGY STORAGE OPERATION </t>
  </si>
  <si>
    <t>TOTAL ENERGY STORAGE OPERATION EXPENSES</t>
  </si>
  <si>
    <t xml:space="preserve">578 / ENERGY STORAGE MAINTENANCE </t>
  </si>
  <si>
    <t>TOTAL ENERGY STORAGE MAINTENANCE EXPENSES</t>
  </si>
  <si>
    <t>TOTAL ENERGY STORAGE EXPENSES</t>
  </si>
  <si>
    <t>DISTRIBUTION EXPENSES</t>
  </si>
  <si>
    <t>580 / SUPERVISION &amp; ENGINEERING</t>
  </si>
  <si>
    <t>581 / LOAD DISPATCHING</t>
  </si>
  <si>
    <t>582 / STATION EXPENSES</t>
  </si>
  <si>
    <t>583 / OVERHEAD LINE EXPENSES</t>
  </si>
  <si>
    <t>584 / UNDERGROUND LINE EXPENSES</t>
  </si>
  <si>
    <t>585 / STREET LIGHTING &amp; SIGNAL SYSTEMS</t>
  </si>
  <si>
    <t>586 / METER EXPENSES</t>
  </si>
  <si>
    <t>587 / CUSTOMER INSTALLATIONS EXPENSE</t>
  </si>
  <si>
    <t>588 / MISCELLANEOUS EXPENSES</t>
  </si>
  <si>
    <t>589 / RENTS</t>
  </si>
  <si>
    <t>TOTAL DISTRIBUTION OPERATION</t>
  </si>
  <si>
    <t>590 / SUPERVISION &amp; ENGINEERING</t>
  </si>
  <si>
    <t>591 / STRUCTURES</t>
  </si>
  <si>
    <t>592 / STATION EQUIPMENT</t>
  </si>
  <si>
    <t>593 / OVERHEAD LINES</t>
  </si>
  <si>
    <t>594 / UNDERGROUND LINES</t>
  </si>
  <si>
    <t>595 / LINE TRANSFORMERS</t>
  </si>
  <si>
    <t>596 / STREET LIGHTING &amp; SIGNAL SYSTEMS</t>
  </si>
  <si>
    <t>597 / METERS</t>
  </si>
  <si>
    <t>598 / MISCELLANEOUS PLANT</t>
  </si>
  <si>
    <t>TOTAL DISTRIBUTION MAINTENANCE</t>
  </si>
  <si>
    <t>TOTAL DISTRIBUTION EXPENSES</t>
  </si>
  <si>
    <t>CUSTOMER ACCOUNTING EXPENSES</t>
  </si>
  <si>
    <t>901 / SUPERVISION</t>
  </si>
  <si>
    <t>902 / METER READING</t>
  </si>
  <si>
    <t>903 / CUSTOMER RECORDS &amp; COLLECTIONS</t>
  </si>
  <si>
    <t>904 / UNCOLLECTIBLE ACCOUNTS</t>
  </si>
  <si>
    <t>905 / MISC  EXPENSES</t>
  </si>
  <si>
    <t>TOTAL CUSTOMER ACCOUNTING EXPENSES</t>
  </si>
  <si>
    <t>CUSTOMER SERVICES &amp; INFORMATION EXPENSES</t>
  </si>
  <si>
    <t>907 / SUPERVISION</t>
  </si>
  <si>
    <t>908 / CUSTOMER ASSISTANCE</t>
  </si>
  <si>
    <t>ENERGY EFFICIENCY RIDER</t>
  </si>
  <si>
    <t xml:space="preserve">   ENERGY EFFICIENCY PROGRAMS </t>
  </si>
  <si>
    <t>OTHER CUSTOMER EXPENSE</t>
  </si>
  <si>
    <t>TOTAL ACCOUNT 908</t>
  </si>
  <si>
    <t>909 / INFORMATION &amp; INSTRUCTIONAL</t>
  </si>
  <si>
    <t>910 / MISCELLANEOUS EXPENSES</t>
  </si>
  <si>
    <t>912 / DEMO AND SELLING EXPENSES</t>
  </si>
  <si>
    <t>TOTAL CUST SERV &amp; INFORMATN EXPENSES</t>
  </si>
  <si>
    <t>ADMINISTRATIVE &amp; GENERAL EXPENSES</t>
  </si>
  <si>
    <t>920 / ADMINISTRATIVE &amp; GENERAL SALARIES</t>
  </si>
  <si>
    <t>921 / OFFICE SUPPLIES</t>
  </si>
  <si>
    <t>922 / ADMIN &amp; GENERAL EXPENSES TRANSFERRED-CR</t>
  </si>
  <si>
    <t>923 / OUTSIDE SERVICES</t>
  </si>
  <si>
    <t>924 / PROPERTY INSURANCE</t>
  </si>
  <si>
    <t>PRODUCTION - STEAM</t>
  </si>
  <si>
    <t>ALL RISK &amp; MISCELLANEOUS</t>
  </si>
  <si>
    <t>TOTAL ACCOUNT 924</t>
  </si>
  <si>
    <t>925 / INJURIES &amp; DAMAGES</t>
  </si>
  <si>
    <t>926 / EMPLOYEE PENSIONS &amp; BENEFITS</t>
  </si>
  <si>
    <t xml:space="preserve">         EMPLOYEE PENSIONS &amp; BENEFITS - OREGON</t>
  </si>
  <si>
    <t xml:space="preserve">         EMPLOYEE PENSIONS &amp; BENEFITS - IDAHO</t>
  </si>
  <si>
    <t xml:space="preserve">         EMPLOYEE PENSIONS AND BENEFITS - FERC</t>
  </si>
  <si>
    <t>927 / FRANCHISE REQUIREMENTS</t>
  </si>
  <si>
    <t>928 / REGULATORY COMMISSION EXPENSES</t>
  </si>
  <si>
    <t>928.101 / FERC ADMIN ASSESS &amp; SECURITIES</t>
  </si>
  <si>
    <t xml:space="preserve">    CAPACITY RELATED</t>
  </si>
  <si>
    <t xml:space="preserve">    ENERGY RELATED</t>
  </si>
  <si>
    <t>FERC RATE CASE</t>
  </si>
  <si>
    <t>FERC ORDER 472</t>
  </si>
  <si>
    <t>FERC OTHER</t>
  </si>
  <si>
    <t>FERC - OREGON HYDRO FEE</t>
  </si>
  <si>
    <t>REGULATORY COMMISSION EXPENSE - SYSTEM OTHER</t>
  </si>
  <si>
    <t>IDAHO PUC  -RATE CASE</t>
  </si>
  <si>
    <t xml:space="preserve">   -OTHER</t>
  </si>
  <si>
    <t>OREGON PUC -RATE CASE</t>
  </si>
  <si>
    <t>TOTAL ACCOUNT 928</t>
  </si>
  <si>
    <t>929 / DUPLICATE CHARGES</t>
  </si>
  <si>
    <t>930.1 / GENERAL ADVERTISING</t>
  </si>
  <si>
    <t>930.2 / MISCELLANEOUS EXPENSES</t>
  </si>
  <si>
    <t>931 / RENTS</t>
  </si>
  <si>
    <t>TOTAL ADM &amp; GEN OPERATION</t>
  </si>
  <si>
    <t>PLUS:</t>
  </si>
  <si>
    <t>935 / GENERAL PLANT MAINTENANCE</t>
  </si>
  <si>
    <t>416 / MERCHANDISING EXPENSE</t>
  </si>
  <si>
    <t>TOTAL OPER &amp; MAINT EXPENSES</t>
  </si>
  <si>
    <t>TABLE 6-DEPRECIATION &amp; AMORTIZATION EXPENSE</t>
  </si>
  <si>
    <t>ENERGY STORAGE PLANT</t>
  </si>
  <si>
    <t>TOTAL ENERGY STORAGE PLANT EXPENSE</t>
  </si>
  <si>
    <t>TOTAL DEPRECIATION EXPENSE</t>
  </si>
  <si>
    <t>DEPRECIATION ON DISALLOWED COSTS</t>
  </si>
  <si>
    <t>AMORTIZATION EXPENSE</t>
  </si>
  <si>
    <t>ADJUSTMENTS, GAINS &amp; LOSSES</t>
  </si>
  <si>
    <t>TOTAL AMORTIZATION EXPENSE</t>
  </si>
  <si>
    <t>TOTAL DEPRECIATION &amp; AM0RTIZATION EXP</t>
  </si>
  <si>
    <t>TABLE 7-TAXES OTHER THAN  INCOME TAXES</t>
  </si>
  <si>
    <t>FEDERAL TAXES</t>
  </si>
  <si>
    <t xml:space="preserve">  FICA</t>
  </si>
  <si>
    <t xml:space="preserve">  FUTA</t>
  </si>
  <si>
    <t xml:space="preserve">  LESS PAYROLL DEDUCTION</t>
  </si>
  <si>
    <t>STATE TAXES</t>
  </si>
  <si>
    <t xml:space="preserve">  AD VALOREM TAXES</t>
  </si>
  <si>
    <t xml:space="preserve">    JIM BRIDGER </t>
  </si>
  <si>
    <t xml:space="preserve">    VALMY</t>
  </si>
  <si>
    <t xml:space="preserve">    OTHER-PRODUCTION PLANT</t>
  </si>
  <si>
    <t xml:space="preserve">    OTHER-TRANSMISSION PLANT</t>
  </si>
  <si>
    <t xml:space="preserve">    OTHER-DISTRIBUTION PLANT</t>
  </si>
  <si>
    <t xml:space="preserve">    OTHER-GENERAL PLANT</t>
  </si>
  <si>
    <t xml:space="preserve">     SUB-TOTAL</t>
  </si>
  <si>
    <t xml:space="preserve">  IDAHO OTHER ASSESSMENTS</t>
  </si>
  <si>
    <t xml:space="preserve">  LICENSES - HYDRO PROJECTS</t>
  </si>
  <si>
    <t xml:space="preserve">  REGULATORY COMMISSION FEES</t>
  </si>
  <si>
    <t xml:space="preserve">    STATE OF IDAHO</t>
  </si>
  <si>
    <t xml:space="preserve">    STATE OF OREGON</t>
  </si>
  <si>
    <t xml:space="preserve">  FRANCHISE TAXES</t>
  </si>
  <si>
    <t xml:space="preserve">  OTHER STATE TAXES</t>
  </si>
  <si>
    <t xml:space="preserve">    UNEMPLOYMENT TAXES</t>
  </si>
  <si>
    <t xml:space="preserve">    KILOWATT-HOUR TAX - IDAHO</t>
  </si>
  <si>
    <t xml:space="preserve">    NEVADA STATE COMMERCE TAX</t>
  </si>
  <si>
    <t>TOTAL TAXES OTHER THAN INCOME</t>
  </si>
  <si>
    <t>TABLE 8-REGULATORY DEBITS &amp; CREDITS</t>
  </si>
  <si>
    <t>TOTAL REGULATORY DEBITS/CREDITS</t>
  </si>
  <si>
    <t>TABLE 9-INCOME TAXES</t>
  </si>
  <si>
    <t>410/411 NET PROVISION FOR DEFERRED INCOME TAXES</t>
  </si>
  <si>
    <t>ACCOUNT #282 - RELATED</t>
  </si>
  <si>
    <t>ACCOUNT #190 &amp; #283 - RELATED</t>
  </si>
  <si>
    <t>TOTAL NET PROVISION FOR DEFERRED INCOME TAXES</t>
  </si>
  <si>
    <t>411.4 - INVESTMENT TAX CREDIT ADJUSTMENT</t>
  </si>
  <si>
    <t>SUMMARY OF INCOME TAXES</t>
  </si>
  <si>
    <t>TOTAL FEDERAL INCOME TAX</t>
  </si>
  <si>
    <t>STATE INCOME TAX</t>
  </si>
  <si>
    <t>STATE OF IDAHO</t>
  </si>
  <si>
    <t>STATE OF OREGON</t>
  </si>
  <si>
    <t>OTHER STATES</t>
  </si>
  <si>
    <t>TOTAL STATE INCOME TAXES</t>
  </si>
  <si>
    <t>TABLE 10-CALCULATION OF FEDERAL INCOME TAX</t>
  </si>
  <si>
    <t>OPERATION &amp; MAINTENANCE</t>
  </si>
  <si>
    <t xml:space="preserve">      BOOK-TAX ADJUSTMENT</t>
  </si>
  <si>
    <t>INCOME BEFORE TAX ADJUSTMENTS</t>
  </si>
  <si>
    <t>INCOME STATEMENT ADJUSTMENTS</t>
  </si>
  <si>
    <t>INTEREST EXPENSE  / SYNCHRONIZATION</t>
  </si>
  <si>
    <t>NET OPERATING INCOME BEFORE TAXES</t>
  </si>
  <si>
    <t>TOTAL STATE INCOME TAXES (ALLOWED)</t>
  </si>
  <si>
    <t>NET FEDERAL INCOME AFTER STATE INCOME TAXES</t>
  </si>
  <si>
    <t>FEDERAL TAX AT 21 PERCENT</t>
  </si>
  <si>
    <t>OTHER CURRENT TAX ADJUSTMENTS</t>
  </si>
  <si>
    <t xml:space="preserve">             PRIOR YEARS' TAX ADJUSTMENT</t>
  </si>
  <si>
    <t xml:space="preserve">             PRIOR YEAR TAX ADJUSTMENT</t>
  </si>
  <si>
    <t>TOTAL FEDERAL INCOME TAX BEFORE OTHER ADJUSTMENTS</t>
  </si>
  <si>
    <t>OTHER TAX ADJUSTMENTS</t>
  </si>
  <si>
    <t xml:space="preserve">  ALLOWANCE FOR AFUDC</t>
  </si>
  <si>
    <t xml:space="preserve">  FEDERAL INCOME TAX ADJUSTMENTS - PLANT</t>
  </si>
  <si>
    <t xml:space="preserve">  FEDERAL INCOME TAX ADJUSTMENTS - OTHER</t>
  </si>
  <si>
    <t>SUM OF OTHER ADJUSTMENTS</t>
  </si>
  <si>
    <t xml:space="preserve">        FEDERAL TAX ON OTHER TAX ADJ AT 21 PERCENT</t>
  </si>
  <si>
    <t>FEDERAL GENERAL BUSINESS CREDITS</t>
  </si>
  <si>
    <t>TABLE 11-OREGON STATE INCOME TAX</t>
  </si>
  <si>
    <t>NET OPERATING INCOME BEFORE TAXES - OREGON</t>
  </si>
  <si>
    <t>ALLOWANCE FOR AFUDC</t>
  </si>
  <si>
    <t>STATE INCOME TAX ADJUSTMENTS - PLANT</t>
  </si>
  <si>
    <t>STATE INCOME TAX ADJUSTMENTS - OTHER</t>
  </si>
  <si>
    <t>ADD:   OTHER DEDUCTION</t>
  </si>
  <si>
    <t>TOTAL STATE INCOME TAX ADJUSTMENTS - OREGON</t>
  </si>
  <si>
    <t>INCOME SUBJECT TO OREGON TAX</t>
  </si>
  <si>
    <t xml:space="preserve">  IERCO TAXABLE INCOME</t>
  </si>
  <si>
    <t xml:space="preserve">  BONUS DEPRECIATION &amp; OTHER OREGON ADJ</t>
  </si>
  <si>
    <t xml:space="preserve">  OTHER </t>
  </si>
  <si>
    <t>TOTAL STATE TAXABLE INCOME - OREGON</t>
  </si>
  <si>
    <t>APPORTIONMENT FACTOR (0.045454550)</t>
  </si>
  <si>
    <t>POST APPORTIONMENT M ITEMS</t>
  </si>
  <si>
    <t>TOTAL TAXABLE INCOME - OREGON</t>
  </si>
  <si>
    <t>OREGON TAX AT 6.6 PERCENT</t>
  </si>
  <si>
    <t>LESS: INVESTMENT TAX CREDIT</t>
  </si>
  <si>
    <t>STATE INCOME TAX ALLOWED - OREGON</t>
  </si>
  <si>
    <t>ADD :  OR CAT TAX</t>
  </si>
  <si>
    <t xml:space="preserve">            PRIOR YEARS' TAX ADJUSTMENT</t>
  </si>
  <si>
    <t>STATE INCOME TAX PAID - OREGON</t>
  </si>
  <si>
    <t>TABLE 12-IDAHO STATE INCOME TAX</t>
  </si>
  <si>
    <t>NET OPERATING INCOME BEFORE TAXES - IDAHO</t>
  </si>
  <si>
    <t>INCOME SUBJECT TO IDAHO TAX</t>
  </si>
  <si>
    <t xml:space="preserve">  BONUS DEPRECIATION ADJUSTMENT</t>
  </si>
  <si>
    <t xml:space="preserve">  OTHER</t>
  </si>
  <si>
    <t>TOTAL STATE TAXABLE INCOME - IDAHO</t>
  </si>
  <si>
    <t>APPORTIONMENT FACTOR (0.88679245)</t>
  </si>
  <si>
    <t>POST APPORTIONMENT SCHEDULE M</t>
  </si>
  <si>
    <t>TOTAL TAXABLE INCOME - IDAHO</t>
  </si>
  <si>
    <t>IDAHO TAX AT 5.3 PERCENT</t>
  </si>
  <si>
    <t>STATE INCOME TAX ALLOWED - IDAHO</t>
  </si>
  <si>
    <t>ADD :  CURRENT TAX ADJUSTMENT</t>
  </si>
  <si>
    <t>STATE INCOME TAX PAID - IDAHO</t>
  </si>
  <si>
    <t>OTHER STATE INCOME TAX</t>
  </si>
  <si>
    <t>INCOME SUBJECT TO TAX</t>
  </si>
  <si>
    <t>TOTAL TAXABLE INCOME-OTHER STATES</t>
  </si>
  <si>
    <t>APPORTIONMENT FACTOR (1.0)</t>
  </si>
  <si>
    <t>POST APPORTIONMENT M</t>
  </si>
  <si>
    <t>TAXABLE INCOME</t>
  </si>
  <si>
    <t>OTHER TAX AT 0.1 PERCENT</t>
  </si>
  <si>
    <t>ADD : CURRENT YEAR'S TAX DEFICIENCY</t>
  </si>
  <si>
    <t>OTHER STATES' INCOME TAX PAID</t>
  </si>
  <si>
    <t>TABLE 13-DEVELOPMENT OF LABOR RELATED ALLOCATOR</t>
  </si>
  <si>
    <t>CAPACITY RELATED</t>
  </si>
  <si>
    <t>ENERGY RELATED</t>
  </si>
  <si>
    <t>TOTAL 555.1/CSPP</t>
  </si>
  <si>
    <t>908 / DSM RIDER</t>
  </si>
  <si>
    <t>928.101 / FERC ORDER 472</t>
  </si>
  <si>
    <t>928.101 / FERC MISCELLANIOUS</t>
  </si>
  <si>
    <t>928.102 FERC RATE CASE</t>
  </si>
  <si>
    <t>928.104 / FERC OREGON HYDRO</t>
  </si>
  <si>
    <t>SEC EXPENSES</t>
  </si>
  <si>
    <t>928.202 / IDAHO PUC  -RATE CASE</t>
  </si>
  <si>
    <t>928.203 / IDAHO PUC - OTHER</t>
  </si>
  <si>
    <t>928.301 / OREGON PUC - FILING FEES</t>
  </si>
  <si>
    <t>928.302 / OREGON PUC - RATE CASE</t>
  </si>
  <si>
    <t>928.303 / OREGON PUC - OTHER</t>
  </si>
  <si>
    <t>IPC/PUC JSS TRUE-UP ADJ</t>
  </si>
  <si>
    <t>Salaries FF1 2024 plus Thermal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</si>
</sst>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###"/>
    <numFmt numFmtId="166" formatCode="#,##0.00000000000000_);\(#,##0.00000000000000\)"/>
    <numFmt numFmtId="167" formatCode="_(&quot;$&quot;* #,##0_);_(&quot;$&quot;* \(#,##0\);_(&quot;$&quot;* &quot;-&quot;??_);_(@_)"/>
    <numFmt numFmtId="168" formatCode="_(* #,##0_);_(* \(#,##0\);_(* &quot;-&quot;??_);_(@_)"/>
    <numFmt numFmtId="169" formatCode="General_)"/>
    <numFmt numFmtId="170" formatCode="0.000"/>
  </numFmts>
  <fonts count="22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3">
    <xf numFmtId="37" fontId="0" fillId="0" borderId="0"/>
    <xf numFmtId="0" fontId="7" fillId="0" borderId="0"/>
    <xf numFmtId="0" fontId="7" fillId="0" borderId="0"/>
    <xf numFmtId="9" fontId="6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2" borderId="0" applyNumberFormat="0" applyFont="0" applyBorder="0" applyAlignment="0" applyProtection="0"/>
    <xf numFmtId="37" fontId="10" fillId="0" borderId="0"/>
    <xf numFmtId="43" fontId="10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7" fontId="10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37" fontId="10" fillId="0" borderId="0"/>
    <xf numFmtId="9" fontId="7" fillId="0" borderId="0" applyFont="0" applyFill="0" applyBorder="0" applyAlignment="0" applyProtection="0"/>
    <xf numFmtId="169" fontId="12" fillId="0" borderId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10" fillId="0" borderId="0"/>
    <xf numFmtId="37" fontId="10" fillId="0" borderId="0"/>
    <xf numFmtId="0" fontId="6" fillId="0" borderId="0"/>
    <xf numFmtId="0" fontId="4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>
      <alignment vertical="top"/>
    </xf>
    <xf numFmtId="37" fontId="10" fillId="0" borderId="0"/>
    <xf numFmtId="9" fontId="7" fillId="0" borderId="0" applyFont="0" applyFill="0" applyBorder="0" applyAlignment="0" applyProtection="0"/>
    <xf numFmtId="0" fontId="7" fillId="0" borderId="0"/>
    <xf numFmtId="9" fontId="1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82">
    <xf numFmtId="37" fontId="0" fillId="0" borderId="0" xfId="0"/>
    <xf numFmtId="37" fontId="16" fillId="0" borderId="0" xfId="0" quotePrefix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0" quotePrefix="1" applyNumberFormat="1" applyFont="1" applyAlignment="1">
      <alignment horizontal="center"/>
    </xf>
    <xf numFmtId="168" fontId="17" fillId="0" borderId="0" xfId="11" quotePrefix="1" applyNumberFormat="1" applyFont="1" applyFill="1" applyAlignment="1">
      <alignment horizontal="center"/>
    </xf>
    <xf numFmtId="1" fontId="17" fillId="0" borderId="0" xfId="0" applyNumberFormat="1" applyFont="1" applyAlignment="1">
      <alignment vertical="center"/>
    </xf>
    <xf numFmtId="37" fontId="17" fillId="0" borderId="0" xfId="0" applyFont="1" applyAlignment="1">
      <alignment horizontal="center"/>
    </xf>
    <xf numFmtId="168" fontId="17" fillId="0" borderId="0" xfId="11" applyNumberFormat="1" applyFont="1" applyFill="1" applyBorder="1" applyAlignment="1">
      <alignment horizontal="center"/>
    </xf>
    <xf numFmtId="0" fontId="17" fillId="0" borderId="0" xfId="0" applyNumberFormat="1" applyFont="1"/>
    <xf numFmtId="0" fontId="18" fillId="0" borderId="0" xfId="0" applyNumberFormat="1" applyFont="1" applyAlignment="1">
      <alignment horizontal="center"/>
    </xf>
    <xf numFmtId="37" fontId="18" fillId="0" borderId="0" xfId="0" applyFont="1" applyAlignment="1">
      <alignment horizontal="center"/>
    </xf>
    <xf numFmtId="168" fontId="18" fillId="0" borderId="0" xfId="11" applyNumberFormat="1" applyFont="1" applyFill="1" applyBorder="1" applyAlignment="1">
      <alignment horizontal="center"/>
    </xf>
    <xf numFmtId="0" fontId="18" fillId="0" borderId="0" xfId="0" applyNumberFormat="1" applyFont="1"/>
    <xf numFmtId="37" fontId="19" fillId="0" borderId="0" xfId="0" applyFont="1" applyAlignment="1">
      <alignment vertical="center"/>
    </xf>
    <xf numFmtId="37" fontId="17" fillId="0" borderId="0" xfId="0" applyFont="1" applyAlignment="1">
      <alignment vertical="center"/>
    </xf>
    <xf numFmtId="168" fontId="17" fillId="0" borderId="0" xfId="11" applyNumberFormat="1" applyFont="1" applyFill="1" applyBorder="1" applyAlignment="1">
      <alignment vertical="center"/>
    </xf>
    <xf numFmtId="37" fontId="20" fillId="0" borderId="0" xfId="0" applyFont="1" applyAlignment="1">
      <alignment vertical="center"/>
    </xf>
    <xf numFmtId="37" fontId="17" fillId="0" borderId="0" xfId="0" applyFont="1"/>
    <xf numFmtId="37" fontId="21" fillId="0" borderId="0" xfId="0" applyFont="1" applyAlignment="1">
      <alignment vertical="center"/>
    </xf>
    <xf numFmtId="37" fontId="17" fillId="0" borderId="0" xfId="0" applyFont="1" applyAlignment="1">
      <alignment horizontal="left" vertical="center" indent="1"/>
    </xf>
    <xf numFmtId="37" fontId="17" fillId="0" borderId="0" xfId="0" applyFont="1" applyAlignment="1">
      <alignment horizontal="left" vertical="center" indent="2"/>
    </xf>
    <xf numFmtId="10" fontId="17" fillId="0" borderId="0" xfId="3" applyNumberFormat="1" applyFont="1" applyFill="1" applyAlignment="1"/>
    <xf numFmtId="10" fontId="17" fillId="0" borderId="0" xfId="3" applyNumberFormat="1" applyFont="1" applyFill="1" applyAlignment="1">
      <alignment vertical="center"/>
    </xf>
    <xf numFmtId="164" fontId="17" fillId="0" borderId="0" xfId="0" applyNumberFormat="1" applyFont="1"/>
    <xf numFmtId="164" fontId="17" fillId="0" borderId="0" xfId="0" applyNumberFormat="1" applyFont="1" applyAlignment="1">
      <alignment vertical="center"/>
    </xf>
    <xf numFmtId="164" fontId="17" fillId="0" borderId="0" xfId="3" applyNumberFormat="1" applyFont="1" applyFill="1" applyAlignment="1">
      <alignment vertical="center"/>
    </xf>
    <xf numFmtId="164" fontId="17" fillId="0" borderId="0" xfId="3" applyNumberFormat="1" applyFont="1" applyFill="1" applyAlignment="1"/>
    <xf numFmtId="170" fontId="17" fillId="0" borderId="0" xfId="0" applyNumberFormat="1" applyFont="1" applyAlignment="1">
      <alignment vertical="center"/>
    </xf>
    <xf numFmtId="37" fontId="20" fillId="0" borderId="0" xfId="0" applyFont="1"/>
    <xf numFmtId="37" fontId="19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166" fontId="17" fillId="0" borderId="0" xfId="0" applyNumberFormat="1" applyFont="1"/>
    <xf numFmtId="166" fontId="17" fillId="0" borderId="0" xfId="0" applyNumberFormat="1" applyFont="1" applyAlignment="1">
      <alignment vertical="center"/>
    </xf>
    <xf numFmtId="37" fontId="17" fillId="0" borderId="0" xfId="0" applyFont="1" applyAlignment="1">
      <alignment horizontal="left" vertical="center"/>
    </xf>
    <xf numFmtId="37" fontId="17" fillId="0" borderId="0" xfId="0" applyFont="1" applyAlignment="1">
      <alignment horizontal="left" vertical="center" indent="3"/>
    </xf>
    <xf numFmtId="0" fontId="20" fillId="0" borderId="0" xfId="1" applyFont="1" applyAlignment="1">
      <alignment vertical="center"/>
    </xf>
    <xf numFmtId="37" fontId="21" fillId="0" borderId="2" xfId="0" applyFont="1" applyBorder="1" applyAlignment="1">
      <alignment vertical="center"/>
    </xf>
    <xf numFmtId="37" fontId="17" fillId="0" borderId="3" xfId="0" applyFont="1" applyBorder="1" applyAlignment="1">
      <alignment vertical="center"/>
    </xf>
    <xf numFmtId="37" fontId="17" fillId="0" borderId="3" xfId="0" applyFont="1" applyBorder="1"/>
    <xf numFmtId="37" fontId="17" fillId="0" borderId="3" xfId="0" applyFont="1" applyBorder="1" applyAlignment="1">
      <alignment horizontal="left" vertical="center"/>
    </xf>
    <xf numFmtId="37" fontId="17" fillId="0" borderId="4" xfId="0" applyFont="1" applyBorder="1" applyAlignment="1">
      <alignment vertical="center"/>
    </xf>
    <xf numFmtId="37" fontId="17" fillId="0" borderId="8" xfId="0" applyFont="1" applyBorder="1" applyAlignment="1">
      <alignment vertical="center"/>
    </xf>
    <xf numFmtId="37" fontId="17" fillId="0" borderId="9" xfId="0" applyFont="1" applyBorder="1" applyAlignment="1">
      <alignment vertical="center"/>
    </xf>
    <xf numFmtId="37" fontId="18" fillId="0" borderId="0" xfId="0" applyFont="1"/>
    <xf numFmtId="37" fontId="18" fillId="0" borderId="9" xfId="0" applyFont="1" applyBorder="1" applyAlignment="1">
      <alignment vertical="center"/>
    </xf>
    <xf numFmtId="37" fontId="17" fillId="0" borderId="5" xfId="0" applyFont="1" applyBorder="1" applyAlignment="1">
      <alignment vertical="center"/>
    </xf>
    <xf numFmtId="0" fontId="17" fillId="0" borderId="6" xfId="1" applyFont="1" applyBorder="1" applyAlignment="1">
      <alignment horizontal="left" vertical="center" indent="2"/>
    </xf>
    <xf numFmtId="37" fontId="17" fillId="0" borderId="6" xfId="0" applyFont="1" applyBorder="1"/>
    <xf numFmtId="37" fontId="17" fillId="0" borderId="6" xfId="0" applyFont="1" applyBorder="1" applyAlignment="1">
      <alignment vertical="center"/>
    </xf>
    <xf numFmtId="37" fontId="18" fillId="0" borderId="0" xfId="0" applyFont="1" applyAlignment="1">
      <alignment vertical="center"/>
    </xf>
    <xf numFmtId="0" fontId="17" fillId="0" borderId="6" xfId="1" applyFont="1" applyBorder="1" applyAlignment="1">
      <alignment vertical="center"/>
    </xf>
    <xf numFmtId="37" fontId="17" fillId="0" borderId="7" xfId="0" applyFont="1" applyBorder="1" applyAlignment="1">
      <alignment vertical="center"/>
    </xf>
    <xf numFmtId="10" fontId="17" fillId="0" borderId="0" xfId="3" applyNumberFormat="1" applyFont="1" applyFill="1" applyBorder="1" applyAlignment="1">
      <alignment vertical="center"/>
    </xf>
    <xf numFmtId="167" fontId="17" fillId="0" borderId="0" xfId="15" applyNumberFormat="1" applyFont="1" applyFill="1" applyAlignment="1">
      <alignment horizontal="right"/>
    </xf>
    <xf numFmtId="39" fontId="17" fillId="0" borderId="0" xfId="47" applyNumberFormat="1" applyFont="1"/>
    <xf numFmtId="168" fontId="17" fillId="0" borderId="0" xfId="11" applyNumberFormat="1" applyFont="1" applyFill="1" applyAlignment="1">
      <alignment horizontal="right"/>
    </xf>
    <xf numFmtId="37" fontId="17" fillId="0" borderId="0" xfId="10" applyFont="1"/>
    <xf numFmtId="37" fontId="17" fillId="0" borderId="0" xfId="10" applyFont="1" applyAlignment="1">
      <alignment vertical="center"/>
    </xf>
    <xf numFmtId="37" fontId="17" fillId="0" borderId="0" xfId="34" applyNumberFormat="1" applyFont="1"/>
    <xf numFmtId="37" fontId="17" fillId="0" borderId="0" xfId="12" applyNumberFormat="1" applyFont="1"/>
    <xf numFmtId="37" fontId="17" fillId="0" borderId="0" xfId="42" applyNumberFormat="1" applyFont="1"/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 indent="2"/>
    </xf>
    <xf numFmtId="37" fontId="17" fillId="0" borderId="0" xfId="47" applyNumberFormat="1" applyFont="1"/>
    <xf numFmtId="37" fontId="17" fillId="0" borderId="0" xfId="19" applyNumberFormat="1" applyFont="1"/>
    <xf numFmtId="0" fontId="17" fillId="0" borderId="0" xfId="34" applyFont="1"/>
    <xf numFmtId="0" fontId="17" fillId="0" borderId="0" xfId="1" applyFont="1" applyAlignment="1">
      <alignment horizontal="left" vertical="center" indent="1"/>
    </xf>
    <xf numFmtId="0" fontId="17" fillId="0" borderId="0" xfId="1" quotePrefix="1" applyFont="1" applyAlignment="1">
      <alignment horizontal="left" vertical="center" indent="1"/>
    </xf>
    <xf numFmtId="0" fontId="17" fillId="0" borderId="0" xfId="12" applyFont="1"/>
    <xf numFmtId="37" fontId="17" fillId="0" borderId="0" xfId="0" applyFont="1" applyAlignment="1">
      <alignment horizontal="right" vertical="center"/>
    </xf>
    <xf numFmtId="37" fontId="17" fillId="0" borderId="0" xfId="17" applyNumberFormat="1" applyFont="1"/>
    <xf numFmtId="0" fontId="17" fillId="0" borderId="0" xfId="1" applyFont="1" applyAlignment="1">
      <alignment horizontal="left" vertical="center" indent="3"/>
    </xf>
    <xf numFmtId="0" fontId="17" fillId="0" borderId="0" xfId="17" applyFont="1"/>
    <xf numFmtId="0" fontId="17" fillId="0" borderId="0" xfId="2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41" fontId="17" fillId="0" borderId="0" xfId="48" applyNumberFormat="1" applyFont="1" applyProtection="1">
      <protection locked="0"/>
    </xf>
    <xf numFmtId="0" fontId="19" fillId="0" borderId="0" xfId="2" applyFont="1" applyAlignment="1">
      <alignment vertical="center"/>
    </xf>
    <xf numFmtId="0" fontId="17" fillId="0" borderId="0" xfId="27" applyFont="1"/>
    <xf numFmtId="0" fontId="19" fillId="0" borderId="0" xfId="1" applyFont="1" applyAlignment="1">
      <alignment vertical="center"/>
    </xf>
    <xf numFmtId="10" fontId="17" fillId="0" borderId="0" xfId="0" applyNumberFormat="1" applyFont="1" applyAlignment="1">
      <alignment vertical="center"/>
    </xf>
    <xf numFmtId="37" fontId="17" fillId="0" borderId="0" xfId="0" applyFont="1" applyAlignment="1">
      <alignment horizontal="center"/>
    </xf>
    <xf numFmtId="37" fontId="18" fillId="0" borderId="0" xfId="0" applyFont="1" applyAlignment="1">
      <alignment horizontal="center"/>
    </xf>
  </cellXfs>
  <cellStyles count="53">
    <cellStyle name="Comma" xfId="11" builtinId="3"/>
    <cellStyle name="Comma 2" xfId="14" xr:uid="{00000000-0005-0000-0000-000001000000}"/>
    <cellStyle name="Comma 3" xfId="13" xr:uid="{00000000-0005-0000-0000-000002000000}"/>
    <cellStyle name="Comma 4" xfId="20" xr:uid="{00000000-0005-0000-0000-000003000000}"/>
    <cellStyle name="Comma 5" xfId="29" xr:uid="{00000000-0005-0000-0000-000004000000}"/>
    <cellStyle name="Currency 2" xfId="15" xr:uid="{00000000-0005-0000-0000-000005000000}"/>
    <cellStyle name="Currency 3" xfId="52" xr:uid="{26CC1E36-0885-4081-AA3D-3433EAF2EF62}"/>
    <cellStyle name="Normal" xfId="0" builtinId="0"/>
    <cellStyle name="Normal 2" xfId="16" xr:uid="{00000000-0005-0000-0000-000007000000}"/>
    <cellStyle name="Normal 2 2" xfId="24" xr:uid="{00000000-0005-0000-0000-000008000000}"/>
    <cellStyle name="Normal 2 2 2" xfId="40" xr:uid="{00000000-0005-0000-0000-000009000000}"/>
    <cellStyle name="Normal 2 2 3" xfId="33" xr:uid="{00000000-0005-0000-0000-00000A000000}"/>
    <cellStyle name="Normal 2 3" xfId="22" xr:uid="{00000000-0005-0000-0000-00000B000000}"/>
    <cellStyle name="Normal 2 3 2" xfId="32" xr:uid="{00000000-0005-0000-0000-00000C000000}"/>
    <cellStyle name="Normal 3" xfId="17" xr:uid="{00000000-0005-0000-0000-00000D000000}"/>
    <cellStyle name="Normal 3 2" xfId="27" xr:uid="{00000000-0005-0000-0000-00000E000000}"/>
    <cellStyle name="Normal 4" xfId="10" xr:uid="{00000000-0005-0000-0000-00000F000000}"/>
    <cellStyle name="Normal 4 2" xfId="39" xr:uid="{00000000-0005-0000-0000-000010000000}"/>
    <cellStyle name="Normal 5" xfId="12" xr:uid="{00000000-0005-0000-0000-000011000000}"/>
    <cellStyle name="Normal 5 2" xfId="26" xr:uid="{00000000-0005-0000-0000-000012000000}"/>
    <cellStyle name="Normal 5 2 2" xfId="42" xr:uid="{00000000-0005-0000-0000-000013000000}"/>
    <cellStyle name="Normal 5 3" xfId="34" xr:uid="{00000000-0005-0000-0000-000014000000}"/>
    <cellStyle name="Normal 5 3 3" xfId="50" xr:uid="{CB399CBF-8411-4957-807D-5A4A64725787}"/>
    <cellStyle name="Normal 5 4" xfId="46" xr:uid="{00000000-0005-0000-0000-000015000000}"/>
    <cellStyle name="Normal 6" xfId="19" xr:uid="{00000000-0005-0000-0000-000016000000}"/>
    <cellStyle name="Normal 6 2" xfId="31" xr:uid="{00000000-0005-0000-0000-000017000000}"/>
    <cellStyle name="Normal 6 3" xfId="45" xr:uid="{00000000-0005-0000-0000-000018000000}"/>
    <cellStyle name="Normal 6 9" xfId="51" xr:uid="{F4D24AF8-588D-4803-90E3-1E10E526D784}"/>
    <cellStyle name="Normal 7" xfId="28" xr:uid="{00000000-0005-0000-0000-000019000000}"/>
    <cellStyle name="Normal 7 2" xfId="44" xr:uid="{00000000-0005-0000-0000-00001A000000}"/>
    <cellStyle name="Normal 7 3" xfId="49" xr:uid="{929219C9-4F13-4AFD-A326-16B27DCC09E3}"/>
    <cellStyle name="Normal 8" xfId="47" xr:uid="{00000000-0005-0000-0000-00001B000000}"/>
    <cellStyle name="Normal_Jss2002pf" xfId="1" xr:uid="{00000000-0005-0000-0000-00001C000000}"/>
    <cellStyle name="Normal_Jss2004pf" xfId="2" xr:uid="{00000000-0005-0000-0000-00001D000000}"/>
    <cellStyle name="Normal_Taxes Other_KBasye" xfId="48" xr:uid="{EB421D5B-6963-44A9-9439-7FA58C46AC1A}"/>
    <cellStyle name="Percent" xfId="3" builtinId="5"/>
    <cellStyle name="Percent 2" xfId="18" xr:uid="{00000000-0005-0000-0000-00001F000000}"/>
    <cellStyle name="Percent 2 2" xfId="25" xr:uid="{00000000-0005-0000-0000-000020000000}"/>
    <cellStyle name="Percent 2 2 2" xfId="41" xr:uid="{00000000-0005-0000-0000-000021000000}"/>
    <cellStyle name="Percent 2 2 3" xfId="36" xr:uid="{00000000-0005-0000-0000-000022000000}"/>
    <cellStyle name="Percent 2 3" xfId="23" xr:uid="{00000000-0005-0000-0000-000023000000}"/>
    <cellStyle name="Percent 2 3 2" xfId="35" xr:uid="{00000000-0005-0000-0000-000024000000}"/>
    <cellStyle name="Percent 3" xfId="21" xr:uid="{00000000-0005-0000-0000-000025000000}"/>
    <cellStyle name="Percent 3 2" xfId="37" xr:uid="{00000000-0005-0000-0000-000026000000}"/>
    <cellStyle name="Percent 4" xfId="38" xr:uid="{00000000-0005-0000-0000-000027000000}"/>
    <cellStyle name="Percent 5" xfId="30" xr:uid="{00000000-0005-0000-0000-000028000000}"/>
    <cellStyle name="Percent 6" xfId="43" xr:uid="{00000000-0005-0000-0000-000029000000}"/>
    <cellStyle name="PSChar" xfId="4" xr:uid="{00000000-0005-0000-0000-00002A000000}"/>
    <cellStyle name="PSDate" xfId="5" xr:uid="{00000000-0005-0000-0000-00002B000000}"/>
    <cellStyle name="PSDec" xfId="6" xr:uid="{00000000-0005-0000-0000-00002C000000}"/>
    <cellStyle name="PSHeading" xfId="7" xr:uid="{00000000-0005-0000-0000-00002D000000}"/>
    <cellStyle name="PSInt" xfId="8" xr:uid="{00000000-0005-0000-0000-00002E000000}"/>
    <cellStyle name="PSSpacer" xfId="9" xr:uid="{00000000-0005-0000-0000-00002F000000}"/>
  </cellStyles>
  <dxfs count="0"/>
  <tableStyles count="0" defaultTableStyle="TableStyleMedium9" defaultPivotStyle="PivotStyleLight16"/>
  <colors>
    <mruColors>
      <color rgb="FFDC88DC"/>
      <color rgb="FFFFCCFF"/>
      <color rgb="FFFF714F"/>
      <color rgb="FFFF99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s6447\My%20Documents\files\2008\2008%20Test%20Year\models\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kr6787\Local%20Settings\Temporary%20Internet%20Files\Content.Outlook\1N6IOMKW\IPC-E-08-10%20Exhibits%20(Schwendiman)\datas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SS-RevReq ID"/>
      <sheetName val="JSS-RevReq ALL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SS-RevReq_ID"/>
      <sheetName val="JSS-RevReq ALL"/>
      <sheetName val="wo ADIT"/>
      <sheetName val="Data"/>
      <sheetName val="wk_expense_adj"/>
      <sheetName val="MemCont Ded"/>
      <sheetName val="keyword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K1077"/>
  <sheetViews>
    <sheetView tabSelected="1" showOutlineSymbols="0" defaultGridColor="0" view="pageLayout" colorId="55" zoomScaleNormal="120" zoomScaleSheetLayoutView="120" workbookViewId="0">
      <pane ySplit="3420" activePane="bottomLeft"/>
      <selection activeCell="G3" sqref="G3"/>
      <selection pane="bottomLeft" activeCell="R14" sqref="R14"/>
    </sheetView>
  </sheetViews>
  <sheetFormatPr defaultColWidth="9.33203125" defaultRowHeight="10.5" customHeight="1" x14ac:dyDescent="0.2"/>
  <cols>
    <col min="1" max="1" width="5.1640625" style="5" bestFit="1" customWidth="1"/>
    <col min="2" max="2" width="2.5" style="14" customWidth="1"/>
    <col min="3" max="3" width="72.6640625" style="14" customWidth="1"/>
    <col min="4" max="4" width="17.33203125" style="14" customWidth="1"/>
    <col min="5" max="5" width="17.33203125" style="74" customWidth="1"/>
    <col min="6" max="9" width="17.33203125" style="14" customWidth="1"/>
    <col min="10" max="10" width="17.33203125" style="16" customWidth="1"/>
    <col min="11" max="11" width="13.5" style="17" bestFit="1" customWidth="1"/>
    <col min="12" max="16384" width="9.33203125" style="17"/>
  </cols>
  <sheetData>
    <row r="1" spans="1:11" s="2" customFormat="1" ht="10.5" customHeight="1" x14ac:dyDescent="0.2">
      <c r="A1" s="1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7</v>
      </c>
      <c r="J1" s="3" t="s">
        <v>8</v>
      </c>
    </row>
    <row r="2" spans="1:11" s="8" customFormat="1" ht="10.5" customHeight="1" x14ac:dyDescent="0.2">
      <c r="A2" s="5">
        <v>2</v>
      </c>
      <c r="B2" s="80"/>
      <c r="C2" s="80"/>
      <c r="D2" s="3">
        <v>2024</v>
      </c>
      <c r="E2" s="6" t="s">
        <v>9</v>
      </c>
      <c r="F2" s="3">
        <v>2024</v>
      </c>
      <c r="G2" s="2" t="s">
        <v>10</v>
      </c>
      <c r="H2" s="7" t="s">
        <v>11</v>
      </c>
      <c r="I2" s="6" t="s">
        <v>12</v>
      </c>
      <c r="J2" s="3">
        <v>2025</v>
      </c>
    </row>
    <row r="3" spans="1:11" s="12" customFormat="1" ht="10.5" customHeight="1" x14ac:dyDescent="0.2">
      <c r="A3" s="5">
        <f t="shared" ref="A3:A71" si="0">A2+1</f>
        <v>3</v>
      </c>
      <c r="B3" s="81" t="s">
        <v>13</v>
      </c>
      <c r="C3" s="81"/>
      <c r="D3" s="9" t="s">
        <v>14</v>
      </c>
      <c r="E3" s="10" t="s">
        <v>15</v>
      </c>
      <c r="F3" s="9" t="s">
        <v>16</v>
      </c>
      <c r="G3" s="9" t="s">
        <v>17</v>
      </c>
      <c r="H3" s="11" t="s">
        <v>10</v>
      </c>
      <c r="I3" s="10" t="s">
        <v>17</v>
      </c>
      <c r="J3" s="10" t="s">
        <v>10</v>
      </c>
    </row>
    <row r="4" spans="1:11" ht="10.5" customHeight="1" x14ac:dyDescent="0.2">
      <c r="A4" s="5">
        <f t="shared" si="0"/>
        <v>4</v>
      </c>
      <c r="B4" s="13" t="s">
        <v>18</v>
      </c>
      <c r="E4" s="14"/>
      <c r="H4" s="15"/>
    </row>
    <row r="5" spans="1:11" ht="10.5" customHeight="1" x14ac:dyDescent="0.2">
      <c r="A5" s="5">
        <f t="shared" si="0"/>
        <v>5</v>
      </c>
      <c r="B5" s="18" t="s">
        <v>19</v>
      </c>
      <c r="E5" s="14"/>
      <c r="J5" s="14"/>
    </row>
    <row r="6" spans="1:11" ht="10.5" customHeight="1" x14ac:dyDescent="0.2">
      <c r="A6" s="5">
        <f t="shared" si="0"/>
        <v>6</v>
      </c>
      <c r="B6" s="14" t="str">
        <f>" "</f>
        <v xml:space="preserve"> </v>
      </c>
      <c r="C6" s="14" t="s">
        <v>20</v>
      </c>
      <c r="D6" s="17">
        <f>D68</f>
        <v>4635208608.9903059</v>
      </c>
      <c r="E6" s="14">
        <f>E68</f>
        <v>-179072636.92615396</v>
      </c>
      <c r="F6" s="14">
        <f>D6+E6</f>
        <v>4456135972.0641518</v>
      </c>
      <c r="G6" s="14">
        <f t="shared" ref="G6" si="1">G68</f>
        <v>705103402.18576801</v>
      </c>
      <c r="H6" s="14">
        <f t="shared" ref="H6" si="2">H68</f>
        <v>5161239374.2499189</v>
      </c>
      <c r="I6" s="14">
        <f>I68</f>
        <v>210213537.44559789</v>
      </c>
      <c r="J6" s="14">
        <f>SUM(H6:I6)</f>
        <v>5371452911.6955166</v>
      </c>
    </row>
    <row r="7" spans="1:11" ht="10.5" customHeight="1" x14ac:dyDescent="0.2">
      <c r="A7" s="5">
        <f t="shared" si="0"/>
        <v>7</v>
      </c>
      <c r="D7" s="17"/>
      <c r="E7" s="14"/>
      <c r="J7" s="14"/>
    </row>
    <row r="8" spans="1:11" ht="10.15" customHeight="1" x14ac:dyDescent="0.2">
      <c r="A8" s="5">
        <f t="shared" si="0"/>
        <v>8</v>
      </c>
      <c r="C8" s="19" t="s">
        <v>21</v>
      </c>
      <c r="D8" s="17"/>
      <c r="E8" s="14"/>
      <c r="J8" s="14"/>
    </row>
    <row r="9" spans="1:11" ht="10.5" customHeight="1" x14ac:dyDescent="0.2">
      <c r="A9" s="5">
        <f t="shared" si="0"/>
        <v>9</v>
      </c>
      <c r="B9" s="14" t="s">
        <v>22</v>
      </c>
      <c r="C9" s="20" t="s">
        <v>23</v>
      </c>
      <c r="D9" s="17">
        <f>SUM(D368,D369, D370)</f>
        <v>1552780508.3099999</v>
      </c>
      <c r="E9" s="17">
        <f>SUM(E368,E369, E370)</f>
        <v>-137231603.30999994</v>
      </c>
      <c r="F9" s="14">
        <f>D9+E9</f>
        <v>1415548905</v>
      </c>
      <c r="G9" s="17">
        <f>SUM(G368,G369, G370)</f>
        <v>167420708.70602</v>
      </c>
      <c r="H9" s="17">
        <f>SUM(H368,H369, H370)</f>
        <v>1582969613.7060199</v>
      </c>
      <c r="I9" s="17">
        <f>SUM(I368,I369, I370)</f>
        <v>0</v>
      </c>
      <c r="J9" s="14">
        <f>SUM(H9:I9)</f>
        <v>1582969613.7060199</v>
      </c>
    </row>
    <row r="10" spans="1:11" ht="10.5" customHeight="1" x14ac:dyDescent="0.2">
      <c r="A10" s="5">
        <f t="shared" si="0"/>
        <v>10</v>
      </c>
      <c r="B10" s="14" t="str">
        <f t="shared" ref="B10:B24" si="3">" "</f>
        <v xml:space="preserve"> </v>
      </c>
      <c r="C10" s="20" t="s">
        <v>24</v>
      </c>
      <c r="D10" s="17">
        <f>SUM(D371:D372)</f>
        <v>142669957.70000002</v>
      </c>
      <c r="E10" s="17">
        <f>SUM(E371:E371)</f>
        <v>-107983607.70000002</v>
      </c>
      <c r="F10" s="14">
        <f>D10+E10</f>
        <v>34686350</v>
      </c>
      <c r="G10" s="17">
        <f>SUM(G371:G372)</f>
        <v>66433672.286978498</v>
      </c>
      <c r="H10" s="17">
        <f>SUM(H371:H372)</f>
        <v>101120022.2869785</v>
      </c>
      <c r="I10" s="17">
        <f>SUM(I371:I371)</f>
        <v>0</v>
      </c>
      <c r="J10" s="14">
        <f>SUM(H10:I10)</f>
        <v>101120022.2869785</v>
      </c>
    </row>
    <row r="11" spans="1:11" ht="10.5" customHeight="1" x14ac:dyDescent="0.2">
      <c r="A11" s="5">
        <f t="shared" si="0"/>
        <v>11</v>
      </c>
      <c r="B11" s="14" t="str">
        <f t="shared" si="3"/>
        <v xml:space="preserve"> </v>
      </c>
      <c r="C11" s="20" t="s">
        <v>25</v>
      </c>
      <c r="D11" s="17">
        <f>D73</f>
        <v>127514966.75326002</v>
      </c>
      <c r="E11" s="14">
        <f>E73</f>
        <v>-27580701.400000002</v>
      </c>
      <c r="F11" s="14">
        <f>D11+E11</f>
        <v>99934265.35326001</v>
      </c>
      <c r="G11" s="14">
        <f t="shared" ref="G11" si="4">G73</f>
        <v>-1165841</v>
      </c>
      <c r="H11" s="14">
        <f t="shared" ref="H11:I12" si="5">H73</f>
        <v>98768424.35326001</v>
      </c>
      <c r="I11" s="14">
        <f t="shared" si="5"/>
        <v>0</v>
      </c>
      <c r="J11" s="14">
        <f>SUM(H11:I11)</f>
        <v>98768424.35326001</v>
      </c>
    </row>
    <row r="12" spans="1:11" ht="10.5" customHeight="1" x14ac:dyDescent="0.2">
      <c r="A12" s="5">
        <f t="shared" si="0"/>
        <v>12</v>
      </c>
      <c r="B12" s="14" t="str">
        <f t="shared" si="3"/>
        <v xml:space="preserve"> </v>
      </c>
      <c r="C12" s="14" t="s">
        <v>26</v>
      </c>
      <c r="D12" s="17">
        <f>D74</f>
        <v>1822965432.7632599</v>
      </c>
      <c r="E12" s="14">
        <f>E74</f>
        <v>-272795912.40999997</v>
      </c>
      <c r="F12" s="14">
        <f>D12+E12</f>
        <v>1550169520.35326</v>
      </c>
      <c r="G12" s="14">
        <f>G74</f>
        <v>232688539.99299848</v>
      </c>
      <c r="H12" s="14">
        <f>H74</f>
        <v>1782858060.3462584</v>
      </c>
      <c r="I12" s="14">
        <f t="shared" si="5"/>
        <v>0</v>
      </c>
      <c r="J12" s="14">
        <f>SUM(H12:I12)</f>
        <v>1782858060.3462584</v>
      </c>
    </row>
    <row r="13" spans="1:11" ht="10.5" customHeight="1" x14ac:dyDescent="0.2">
      <c r="A13" s="5">
        <f t="shared" si="0"/>
        <v>13</v>
      </c>
      <c r="B13" s="14" t="str">
        <f t="shared" si="3"/>
        <v xml:space="preserve"> </v>
      </c>
      <c r="C13" s="19" t="s">
        <v>27</v>
      </c>
      <c r="D13" s="17"/>
      <c r="E13" s="14"/>
      <c r="J13" s="14"/>
    </row>
    <row r="14" spans="1:11" ht="10.5" customHeight="1" x14ac:dyDescent="0.2">
      <c r="A14" s="5">
        <f t="shared" si="0"/>
        <v>14</v>
      </c>
      <c r="B14" s="14" t="str">
        <f t="shared" si="3"/>
        <v xml:space="preserve"> </v>
      </c>
      <c r="C14" s="20" t="s">
        <v>28</v>
      </c>
      <c r="D14" s="17">
        <f t="shared" ref="D14" si="6">D76</f>
        <v>1259284350.1099999</v>
      </c>
      <c r="E14" s="14">
        <f t="shared" ref="E14" si="7">E76</f>
        <v>-311709045.31</v>
      </c>
      <c r="F14" s="14">
        <f t="shared" ref="F14:F26" si="8">D14+E14</f>
        <v>947575304.79999995</v>
      </c>
      <c r="G14" s="14">
        <f t="shared" ref="G14" si="9">G76</f>
        <v>148727175.13481915</v>
      </c>
      <c r="H14" s="14">
        <f>H76</f>
        <v>1096302479.9348192</v>
      </c>
      <c r="I14" s="14">
        <f t="shared" ref="H14:I16" si="10">I76</f>
        <v>8123919</v>
      </c>
      <c r="J14" s="14">
        <f>SUM(H14:I14)</f>
        <v>1104426398.9348192</v>
      </c>
      <c r="K14" s="17">
        <f>J14+J15+J16+J17+J18+J784</f>
        <v>1504891846.8807042</v>
      </c>
    </row>
    <row r="15" spans="1:11" ht="10.5" customHeight="1" x14ac:dyDescent="0.2">
      <c r="A15" s="5">
        <f t="shared" si="0"/>
        <v>15</v>
      </c>
      <c r="B15" s="14" t="str">
        <f t="shared" si="3"/>
        <v xml:space="preserve"> </v>
      </c>
      <c r="C15" s="20" t="s">
        <v>29</v>
      </c>
      <c r="D15" s="17">
        <f t="shared" ref="D15" si="11">D77</f>
        <v>214706953.66173705</v>
      </c>
      <c r="E15" s="14">
        <f t="shared" ref="E15" si="12">E77</f>
        <v>-49614949.82</v>
      </c>
      <c r="F15" s="14">
        <f>D15+E15</f>
        <v>165092003.84173706</v>
      </c>
      <c r="G15" s="14">
        <f t="shared" ref="G15:G16" si="13">G77</f>
        <v>21182023.681665868</v>
      </c>
      <c r="H15" s="14">
        <f t="shared" si="10"/>
        <v>186274027.52340293</v>
      </c>
      <c r="I15" s="14">
        <f t="shared" si="10"/>
        <v>6970289.43659708</v>
      </c>
      <c r="J15" s="14">
        <f>SUM(H15:I15)</f>
        <v>193244316.96000001</v>
      </c>
    </row>
    <row r="16" spans="1:11" ht="10.5" customHeight="1" x14ac:dyDescent="0.2">
      <c r="A16" s="5">
        <f t="shared" si="0"/>
        <v>16</v>
      </c>
      <c r="B16" s="14" t="str">
        <f t="shared" si="3"/>
        <v xml:space="preserve"> </v>
      </c>
      <c r="C16" s="20" t="s">
        <v>30</v>
      </c>
      <c r="D16" s="17">
        <f t="shared" ref="D16" si="14">D78</f>
        <v>7616789.9400000004</v>
      </c>
      <c r="E16" s="14">
        <f t="shared" ref="E16" si="15">E78</f>
        <v>0</v>
      </c>
      <c r="F16" s="14">
        <f t="shared" si="8"/>
        <v>7616789.9400000004</v>
      </c>
      <c r="G16" s="14">
        <f t="shared" si="13"/>
        <v>2086567.3699999978</v>
      </c>
      <c r="H16" s="14">
        <f t="shared" si="10"/>
        <v>9703357.3099999987</v>
      </c>
      <c r="I16" s="14">
        <f t="shared" si="10"/>
        <v>329197.57000000053</v>
      </c>
      <c r="J16" s="14">
        <f>SUM(H16:I16)</f>
        <v>10032554.879999999</v>
      </c>
    </row>
    <row r="17" spans="1:10" ht="10.5" customHeight="1" x14ac:dyDescent="0.2">
      <c r="A17" s="5">
        <f t="shared" si="0"/>
        <v>17</v>
      </c>
      <c r="B17" s="14" t="str">
        <f t="shared" si="3"/>
        <v xml:space="preserve"> </v>
      </c>
      <c r="C17" s="20" t="s">
        <v>31</v>
      </c>
      <c r="D17" s="17">
        <f t="shared" ref="D17" si="16">D79</f>
        <v>16155738.09</v>
      </c>
      <c r="E17" s="14">
        <f>E79</f>
        <v>10434427</v>
      </c>
      <c r="F17" s="14">
        <f t="shared" si="8"/>
        <v>26590165.09</v>
      </c>
      <c r="G17" s="14">
        <f t="shared" ref="G17" si="17">G79</f>
        <v>-12637609.300000003</v>
      </c>
      <c r="H17" s="14">
        <f t="shared" ref="H17:H21" si="18">H79</f>
        <v>13952555.789999995</v>
      </c>
      <c r="I17" s="14">
        <f t="shared" ref="I17:I26" si="19">I79</f>
        <v>169639.59999999998</v>
      </c>
      <c r="J17" s="14">
        <f t="shared" ref="J17:J25" si="20">SUM(H17:I17)</f>
        <v>14122195.389999995</v>
      </c>
    </row>
    <row r="18" spans="1:10" ht="10.5" customHeight="1" x14ac:dyDescent="0.2">
      <c r="A18" s="5">
        <f t="shared" si="0"/>
        <v>18</v>
      </c>
      <c r="B18" s="14" t="str">
        <f t="shared" si="3"/>
        <v xml:space="preserve"> </v>
      </c>
      <c r="C18" s="20" t="s">
        <v>32</v>
      </c>
      <c r="D18" s="17">
        <f t="shared" ref="D18" si="21">D80</f>
        <v>5389667</v>
      </c>
      <c r="E18" s="14">
        <f t="shared" ref="E18" si="22">E80</f>
        <v>191050</v>
      </c>
      <c r="F18" s="14">
        <f t="shared" si="8"/>
        <v>5580717</v>
      </c>
      <c r="G18" s="14">
        <f t="shared" ref="G18" si="23">G80</f>
        <v>10402322</v>
      </c>
      <c r="H18" s="14">
        <f t="shared" si="18"/>
        <v>15983039</v>
      </c>
      <c r="I18" s="14">
        <f t="shared" si="19"/>
        <v>0</v>
      </c>
      <c r="J18" s="14">
        <f t="shared" si="20"/>
        <v>15983039</v>
      </c>
    </row>
    <row r="19" spans="1:10" ht="10.5" customHeight="1" x14ac:dyDescent="0.2">
      <c r="A19" s="5">
        <f t="shared" si="0"/>
        <v>19</v>
      </c>
      <c r="B19" s="14" t="str">
        <f t="shared" si="3"/>
        <v xml:space="preserve"> </v>
      </c>
      <c r="C19" s="20" t="s">
        <v>33</v>
      </c>
      <c r="D19" s="17">
        <f t="shared" ref="D19" si="24">D81</f>
        <v>-74296566.689999998</v>
      </c>
      <c r="E19" s="14">
        <f t="shared" ref="E19" si="25">E81</f>
        <v>0</v>
      </c>
      <c r="F19" s="14">
        <f t="shared" si="8"/>
        <v>-74296566.689999998</v>
      </c>
      <c r="G19" s="14">
        <f t="shared" ref="G19" si="26">G81</f>
        <v>59880006.689999998</v>
      </c>
      <c r="H19" s="14">
        <f t="shared" si="18"/>
        <v>-14416560</v>
      </c>
      <c r="I19" s="14">
        <f t="shared" si="19"/>
        <v>0</v>
      </c>
      <c r="J19" s="14">
        <f t="shared" si="20"/>
        <v>-14416560</v>
      </c>
    </row>
    <row r="20" spans="1:10" ht="10.5" customHeight="1" x14ac:dyDescent="0.2">
      <c r="A20" s="5">
        <f t="shared" si="0"/>
        <v>20</v>
      </c>
      <c r="B20" s="14" t="str">
        <f t="shared" si="3"/>
        <v xml:space="preserve"> </v>
      </c>
      <c r="C20" s="20" t="s">
        <v>34</v>
      </c>
      <c r="D20" s="17">
        <f t="shared" ref="D20" si="27">D82</f>
        <v>94674793</v>
      </c>
      <c r="E20" s="14">
        <f t="shared" ref="E20" si="28">E82</f>
        <v>0</v>
      </c>
      <c r="F20" s="14">
        <f t="shared" si="8"/>
        <v>94674793</v>
      </c>
      <c r="G20" s="14">
        <f>G82</f>
        <v>-43784522</v>
      </c>
      <c r="H20" s="14">
        <f t="shared" si="18"/>
        <v>50890271</v>
      </c>
      <c r="I20" s="14">
        <f t="shared" si="19"/>
        <v>0</v>
      </c>
      <c r="J20" s="14">
        <f t="shared" si="20"/>
        <v>50890271</v>
      </c>
    </row>
    <row r="21" spans="1:10" ht="10.5" customHeight="1" x14ac:dyDescent="0.2">
      <c r="A21" s="5">
        <f t="shared" si="0"/>
        <v>21</v>
      </c>
      <c r="B21" s="14" t="str">
        <f t="shared" si="3"/>
        <v xml:space="preserve"> </v>
      </c>
      <c r="C21" s="20" t="s">
        <v>35</v>
      </c>
      <c r="D21" s="17">
        <f t="shared" ref="D21" si="29">D83</f>
        <v>4689346.2249048352</v>
      </c>
      <c r="E21" s="14">
        <f t="shared" ref="E21" si="30">E83</f>
        <v>-621879.71774289757</v>
      </c>
      <c r="F21" s="14">
        <f t="shared" si="8"/>
        <v>4067466.5071619377</v>
      </c>
      <c r="G21" s="14">
        <f t="shared" ref="G21" si="31">G83</f>
        <v>30125578.194023117</v>
      </c>
      <c r="H21" s="14">
        <f t="shared" si="18"/>
        <v>34193044.701185063</v>
      </c>
      <c r="I21" s="14">
        <f t="shared" si="19"/>
        <v>-3107538.0584475505</v>
      </c>
      <c r="J21" s="14">
        <f t="shared" si="20"/>
        <v>31085506.642737512</v>
      </c>
    </row>
    <row r="22" spans="1:10" ht="10.5" customHeight="1" x14ac:dyDescent="0.2">
      <c r="A22" s="5">
        <f t="shared" si="0"/>
        <v>22</v>
      </c>
      <c r="B22" s="14" t="str">
        <f t="shared" si="3"/>
        <v xml:space="preserve"> </v>
      </c>
      <c r="C22" s="20" t="s">
        <v>36</v>
      </c>
      <c r="D22" s="17">
        <f t="shared" ref="D22" si="32">D84</f>
        <v>6049578.4495952623</v>
      </c>
      <c r="E22" s="14">
        <f t="shared" ref="E22" si="33">E84</f>
        <v>-159144.29074807061</v>
      </c>
      <c r="F22" s="14">
        <f t="shared" si="8"/>
        <v>5890434.1588471914</v>
      </c>
      <c r="G22" s="14">
        <f t="shared" ref="G22" si="34">G84</f>
        <v>-10687192.044719458</v>
      </c>
      <c r="H22" s="14">
        <f>H84</f>
        <v>-4796757.8858722663</v>
      </c>
      <c r="I22" s="14">
        <f>I84</f>
        <v>-795245.3282754079</v>
      </c>
      <c r="J22" s="14">
        <f>SUM(H22:I22)</f>
        <v>-5592003.2141476739</v>
      </c>
    </row>
    <row r="23" spans="1:10" ht="10.5" customHeight="1" x14ac:dyDescent="0.2">
      <c r="A23" s="5">
        <f t="shared" si="0"/>
        <v>23</v>
      </c>
      <c r="B23" s="14" t="str">
        <f t="shared" si="3"/>
        <v xml:space="preserve"> </v>
      </c>
      <c r="C23" s="14" t="s">
        <v>37</v>
      </c>
      <c r="D23" s="17">
        <f t="shared" ref="D23" si="35">D85</f>
        <v>1534270649.7862368</v>
      </c>
      <c r="E23" s="14">
        <f t="shared" ref="E23" si="36">E85</f>
        <v>-351479542.13849097</v>
      </c>
      <c r="F23" s="14">
        <f t="shared" si="8"/>
        <v>1182791107.6477458</v>
      </c>
      <c r="G23" s="14">
        <f t="shared" ref="G23" si="37">G85</f>
        <v>205294349.72578865</v>
      </c>
      <c r="H23" s="14">
        <f t="shared" ref="H23" si="38">H85</f>
        <v>1388085457.3735347</v>
      </c>
      <c r="I23" s="14">
        <f t="shared" si="19"/>
        <v>11690262.219874119</v>
      </c>
      <c r="J23" s="14">
        <f t="shared" si="20"/>
        <v>1399775719.5934088</v>
      </c>
    </row>
    <row r="24" spans="1:10" ht="10.5" customHeight="1" x14ac:dyDescent="0.2">
      <c r="A24" s="5">
        <f t="shared" si="0"/>
        <v>24</v>
      </c>
      <c r="B24" s="14" t="str">
        <f t="shared" si="3"/>
        <v xml:space="preserve"> </v>
      </c>
      <c r="C24" s="14" t="s">
        <v>38</v>
      </c>
      <c r="D24" s="17">
        <f t="shared" ref="D24" si="39">D86</f>
        <v>288694782.97702312</v>
      </c>
      <c r="E24" s="14">
        <f t="shared" ref="E24" si="40">E86</f>
        <v>78683629.728491008</v>
      </c>
      <c r="F24" s="14">
        <f t="shared" si="8"/>
        <v>367378412.70551413</v>
      </c>
      <c r="G24" s="14">
        <f t="shared" ref="G24" si="41">G86</f>
        <v>27394190.267209828</v>
      </c>
      <c r="H24" s="14">
        <f t="shared" ref="H24:H25" si="42">H86</f>
        <v>394772602.97272372</v>
      </c>
      <c r="I24" s="14">
        <f t="shared" si="19"/>
        <v>-11690262.219874119</v>
      </c>
      <c r="J24" s="14">
        <f t="shared" si="20"/>
        <v>383082340.75284958</v>
      </c>
    </row>
    <row r="25" spans="1:10" ht="10.5" customHeight="1" x14ac:dyDescent="0.2">
      <c r="A25" s="5">
        <f t="shared" si="0"/>
        <v>25</v>
      </c>
      <c r="B25" s="14" t="s">
        <v>22</v>
      </c>
      <c r="C25" s="20" t="s">
        <v>39</v>
      </c>
      <c r="D25" s="17">
        <f t="shared" ref="D25" si="43">D87</f>
        <v>2180587</v>
      </c>
      <c r="E25" s="14">
        <f t="shared" ref="E25" si="44">E87</f>
        <v>0</v>
      </c>
      <c r="F25" s="14">
        <f t="shared" si="8"/>
        <v>2180587</v>
      </c>
      <c r="G25" s="14">
        <f t="shared" ref="G25" si="45">G87</f>
        <v>742413</v>
      </c>
      <c r="H25" s="14">
        <f t="shared" si="42"/>
        <v>2923000</v>
      </c>
      <c r="I25" s="14">
        <f t="shared" si="19"/>
        <v>0</v>
      </c>
      <c r="J25" s="14">
        <f t="shared" si="20"/>
        <v>2923000</v>
      </c>
    </row>
    <row r="26" spans="1:10" ht="10.5" customHeight="1" x14ac:dyDescent="0.2">
      <c r="A26" s="5">
        <f t="shared" si="0"/>
        <v>26</v>
      </c>
      <c r="B26" s="14" t="str">
        <f>" "</f>
        <v xml:space="preserve"> </v>
      </c>
      <c r="C26" s="14" t="s">
        <v>40</v>
      </c>
      <c r="D26" s="17">
        <f t="shared" ref="D26" si="46">D88</f>
        <v>290875369.97702312</v>
      </c>
      <c r="E26" s="14">
        <f t="shared" ref="E26" si="47">E88</f>
        <v>78683629.728491008</v>
      </c>
      <c r="F26" s="14">
        <f t="shared" si="8"/>
        <v>369558999.70551413</v>
      </c>
      <c r="G26" s="14">
        <f t="shared" ref="G26" si="48">G88</f>
        <v>28136603.267209828</v>
      </c>
      <c r="H26" s="14">
        <f t="shared" ref="H26" si="49">H88</f>
        <v>397695602.97272372</v>
      </c>
      <c r="I26" s="14">
        <f t="shared" si="19"/>
        <v>-11690262.219874119</v>
      </c>
      <c r="J26" s="14">
        <f>SUM(H26:I26)</f>
        <v>386005340.75284958</v>
      </c>
    </row>
    <row r="27" spans="1:10" ht="10.5" customHeight="1" x14ac:dyDescent="0.2">
      <c r="A27" s="5">
        <f t="shared" si="0"/>
        <v>27</v>
      </c>
      <c r="B27" s="14" t="str">
        <f>" "</f>
        <v xml:space="preserve"> </v>
      </c>
      <c r="C27" s="14" t="s">
        <v>19</v>
      </c>
      <c r="D27" s="21">
        <f>D26/D6</f>
        <v>6.275345826137152E-2</v>
      </c>
      <c r="E27" s="22"/>
      <c r="F27" s="22">
        <f>F26/F6</f>
        <v>8.2932612923462615E-2</v>
      </c>
      <c r="G27" s="22"/>
      <c r="H27" s="22"/>
      <c r="I27" s="22"/>
      <c r="J27" s="22">
        <f>J26/J6</f>
        <v>7.1862370777258794E-2</v>
      </c>
    </row>
    <row r="28" spans="1:10" ht="10.5" customHeight="1" x14ac:dyDescent="0.2">
      <c r="A28" s="5">
        <f t="shared" si="0"/>
        <v>28</v>
      </c>
      <c r="B28" s="14" t="str">
        <f>" "</f>
        <v xml:space="preserve"> </v>
      </c>
      <c r="C28" s="14" t="s">
        <v>41</v>
      </c>
      <c r="D28" s="17"/>
      <c r="E28" s="14"/>
      <c r="J28" s="14"/>
    </row>
    <row r="29" spans="1:10" ht="10.5" customHeight="1" x14ac:dyDescent="0.2">
      <c r="A29" s="5">
        <f t="shared" si="0"/>
        <v>29</v>
      </c>
      <c r="B29" s="18" t="s">
        <v>42</v>
      </c>
      <c r="D29" s="23"/>
      <c r="E29" s="24"/>
      <c r="G29" s="24"/>
      <c r="H29" s="24"/>
      <c r="I29" s="24"/>
      <c r="J29" s="14"/>
    </row>
    <row r="30" spans="1:10" ht="10.5" customHeight="1" x14ac:dyDescent="0.2">
      <c r="A30" s="5">
        <f t="shared" si="0"/>
        <v>30</v>
      </c>
      <c r="B30" s="25" t="str">
        <f>" "</f>
        <v xml:space="preserve"> </v>
      </c>
      <c r="C30" s="25" t="s">
        <v>43</v>
      </c>
      <c r="D30" s="26">
        <v>7.8175764337379994E-2</v>
      </c>
      <c r="E30" s="25">
        <f>$D$30</f>
        <v>7.8175764337379994E-2</v>
      </c>
      <c r="F30" s="25">
        <f>$D$30</f>
        <v>7.8175764337379994E-2</v>
      </c>
      <c r="G30" s="25">
        <f t="shared" ref="G30:J30" si="50">$D$30</f>
        <v>7.8175764337379994E-2</v>
      </c>
      <c r="H30" s="25">
        <f t="shared" si="50"/>
        <v>7.8175764337379994E-2</v>
      </c>
      <c r="I30" s="25">
        <f t="shared" si="50"/>
        <v>7.8175764337379994E-2</v>
      </c>
      <c r="J30" s="25">
        <f t="shared" si="50"/>
        <v>7.8175764337379994E-2</v>
      </c>
    </row>
    <row r="31" spans="1:10" ht="10.5" customHeight="1" x14ac:dyDescent="0.2">
      <c r="A31" s="5">
        <f t="shared" si="0"/>
        <v>31</v>
      </c>
      <c r="B31" s="14" t="str">
        <f>" "</f>
        <v xml:space="preserve"> </v>
      </c>
      <c r="C31" s="14" t="s">
        <v>41</v>
      </c>
      <c r="D31" s="17"/>
      <c r="E31" s="14"/>
      <c r="J31" s="14"/>
    </row>
    <row r="32" spans="1:10" ht="10.5" customHeight="1" x14ac:dyDescent="0.2">
      <c r="A32" s="5">
        <f t="shared" si="0"/>
        <v>32</v>
      </c>
      <c r="B32" s="14" t="str">
        <f>" "</f>
        <v xml:space="preserve"> </v>
      </c>
      <c r="C32" s="14" t="s">
        <v>44</v>
      </c>
      <c r="D32" s="17">
        <f t="shared" ref="D32:I32" si="51">(D30*D6)</f>
        <v>362360975.87102109</v>
      </c>
      <c r="E32" s="14">
        <f t="shared" si="51"/>
        <v>-13999140.263612222</v>
      </c>
      <c r="F32" s="14">
        <f t="shared" si="51"/>
        <v>348361835.60740882</v>
      </c>
      <c r="G32" s="14">
        <f t="shared" si="51"/>
        <v>55121997.402759463</v>
      </c>
      <c r="H32" s="14">
        <f t="shared" si="51"/>
        <v>403483833.01016825</v>
      </c>
      <c r="I32" s="14">
        <f t="shared" si="51"/>
        <v>16433603.963874064</v>
      </c>
      <c r="J32" s="14">
        <f>SUM(H32:I32)</f>
        <v>419917436.9740423</v>
      </c>
    </row>
    <row r="33" spans="1:10" ht="10.15" customHeight="1" x14ac:dyDescent="0.2">
      <c r="A33" s="5">
        <f t="shared" si="0"/>
        <v>33</v>
      </c>
      <c r="B33" s="14" t="str">
        <f>" "</f>
        <v xml:space="preserve"> </v>
      </c>
      <c r="C33" s="14" t="s">
        <v>45</v>
      </c>
      <c r="D33" s="17">
        <f>(D32-D26)</f>
        <v>71485605.893997967</v>
      </c>
      <c r="E33" s="14">
        <f>F33-D33</f>
        <v>-92682769.992103279</v>
      </c>
      <c r="F33" s="14">
        <f>(F32-F26)</f>
        <v>-21197164.098105311</v>
      </c>
      <c r="G33" s="14">
        <f t="shared" ref="G33" si="52">(G32-G26)</f>
        <v>26985394.135549635</v>
      </c>
      <c r="H33" s="14">
        <f t="shared" ref="H33" si="53">(H32-H26)</f>
        <v>5788230.0374445319</v>
      </c>
      <c r="I33" s="14">
        <f>(I32-I26)</f>
        <v>28123866.183748186</v>
      </c>
      <c r="J33" s="14">
        <f>SUM(H33:I33)</f>
        <v>33912096.221192718</v>
      </c>
    </row>
    <row r="34" spans="1:10" ht="10.5" customHeight="1" x14ac:dyDescent="0.2">
      <c r="A34" s="5">
        <f t="shared" si="0"/>
        <v>34</v>
      </c>
      <c r="C34" s="19" t="s">
        <v>46</v>
      </c>
      <c r="D34" s="17">
        <v>0</v>
      </c>
      <c r="E34" s="14">
        <v>0</v>
      </c>
      <c r="F34" s="14">
        <f>SUM(D34:E34)</f>
        <v>0</v>
      </c>
      <c r="G34" s="14">
        <v>0</v>
      </c>
      <c r="H34" s="14">
        <f>G34+F34</f>
        <v>0</v>
      </c>
      <c r="I34" s="14">
        <v>0</v>
      </c>
      <c r="J34" s="14">
        <f>SUM(H34:I34)</f>
        <v>0</v>
      </c>
    </row>
    <row r="35" spans="1:10" ht="10.5" customHeight="1" x14ac:dyDescent="0.2">
      <c r="A35" s="5">
        <f t="shared" si="0"/>
        <v>35</v>
      </c>
      <c r="C35" s="14" t="s">
        <v>47</v>
      </c>
      <c r="D35" s="17">
        <f t="shared" ref="D35:H35" si="54">SUM(D33:D34)</f>
        <v>71485605.893997967</v>
      </c>
      <c r="E35" s="17">
        <f t="shared" si="54"/>
        <v>-92682769.992103279</v>
      </c>
      <c r="F35" s="17">
        <f t="shared" si="54"/>
        <v>-21197164.098105311</v>
      </c>
      <c r="G35" s="17">
        <f t="shared" si="54"/>
        <v>26985394.135549635</v>
      </c>
      <c r="H35" s="17">
        <f t="shared" si="54"/>
        <v>5788230.0374445319</v>
      </c>
      <c r="I35" s="17">
        <f>SUM(I33:I34)</f>
        <v>28123866.183748186</v>
      </c>
      <c r="J35" s="14">
        <f>SUM(H35:I35)</f>
        <v>33912096.221192718</v>
      </c>
    </row>
    <row r="36" spans="1:10" ht="10.5" customHeight="1" x14ac:dyDescent="0.2">
      <c r="A36" s="5">
        <f t="shared" si="0"/>
        <v>36</v>
      </c>
      <c r="D36" s="17"/>
      <c r="E36" s="14"/>
      <c r="J36" s="14"/>
    </row>
    <row r="37" spans="1:10" ht="10.5" customHeight="1" x14ac:dyDescent="0.2">
      <c r="A37" s="5">
        <f t="shared" si="0"/>
        <v>37</v>
      </c>
      <c r="B37" s="14" t="str">
        <f>" "</f>
        <v xml:space="preserve"> </v>
      </c>
      <c r="C37" s="14" t="s">
        <v>48</v>
      </c>
      <c r="D37" s="27">
        <v>1.33385</v>
      </c>
      <c r="E37" s="27">
        <f>D37</f>
        <v>1.33385</v>
      </c>
      <c r="F37" s="27">
        <f t="shared" ref="F37:J37" si="55">E37</f>
        <v>1.33385</v>
      </c>
      <c r="G37" s="27">
        <f t="shared" si="55"/>
        <v>1.33385</v>
      </c>
      <c r="H37" s="27">
        <f t="shared" si="55"/>
        <v>1.33385</v>
      </c>
      <c r="I37" s="27">
        <f t="shared" si="55"/>
        <v>1.33385</v>
      </c>
      <c r="J37" s="27">
        <f t="shared" si="55"/>
        <v>1.33385</v>
      </c>
    </row>
    <row r="38" spans="1:10" ht="10.5" customHeight="1" x14ac:dyDescent="0.2">
      <c r="A38" s="5">
        <f t="shared" si="0"/>
        <v>38</v>
      </c>
      <c r="B38" s="16" t="str">
        <f>" "</f>
        <v xml:space="preserve"> </v>
      </c>
      <c r="C38" s="14" t="s">
        <v>49</v>
      </c>
      <c r="D38" s="17">
        <f>(D35*D37)</f>
        <v>95351075.42170918</v>
      </c>
      <c r="E38" s="14">
        <f>(E35*E37)</f>
        <v>-123624912.75396696</v>
      </c>
      <c r="F38" s="14">
        <f>D38+E38</f>
        <v>-28273837.332257777</v>
      </c>
      <c r="G38" s="14">
        <f t="shared" ref="G38" si="56">(G35*G37)</f>
        <v>35994467.967702881</v>
      </c>
      <c r="H38" s="14">
        <f>(H35*H37)</f>
        <v>7720630.635445389</v>
      </c>
      <c r="I38" s="14">
        <f>(I35*I37)</f>
        <v>37513018.909192517</v>
      </c>
      <c r="J38" s="14">
        <f>SUM(H38:I38)</f>
        <v>45233649.544637904</v>
      </c>
    </row>
    <row r="39" spans="1:10" ht="10.5" customHeight="1" x14ac:dyDescent="0.2">
      <c r="A39" s="5">
        <f t="shared" si="0"/>
        <v>39</v>
      </c>
      <c r="B39" s="16"/>
      <c r="C39" s="16"/>
      <c r="D39" s="17"/>
      <c r="E39" s="14"/>
      <c r="J39" s="14"/>
    </row>
    <row r="40" spans="1:10" ht="10.5" customHeight="1" x14ac:dyDescent="0.2">
      <c r="A40" s="5">
        <f t="shared" si="0"/>
        <v>40</v>
      </c>
      <c r="B40" s="16"/>
      <c r="C40" s="14" t="s">
        <v>50</v>
      </c>
      <c r="D40" s="17">
        <v>8803453</v>
      </c>
      <c r="E40" s="14">
        <v>0</v>
      </c>
      <c r="F40" s="14">
        <f t="shared" ref="F40" si="57">SUM(D40:E40)</f>
        <v>8803453</v>
      </c>
      <c r="G40" s="14">
        <f>29708787</f>
        <v>29708787</v>
      </c>
      <c r="H40" s="14">
        <f>G40+F40</f>
        <v>38512240</v>
      </c>
      <c r="I40" s="14">
        <v>0</v>
      </c>
      <c r="J40" s="14">
        <f>SUM(H40:I40)</f>
        <v>38512240</v>
      </c>
    </row>
    <row r="41" spans="1:10" ht="10.5" customHeight="1" x14ac:dyDescent="0.2">
      <c r="A41" s="5">
        <f t="shared" si="0"/>
        <v>41</v>
      </c>
      <c r="C41" s="19" t="s">
        <v>51</v>
      </c>
      <c r="D41" s="17">
        <v>0</v>
      </c>
      <c r="E41" s="14">
        <v>0</v>
      </c>
      <c r="F41" s="14">
        <f t="shared" ref="F41:F42" si="58">SUM(D41:E41)</f>
        <v>0</v>
      </c>
      <c r="G41" s="14">
        <v>37746361.37625397</v>
      </c>
      <c r="H41" s="14">
        <f t="shared" ref="H41:H42" si="59">G41+F41</f>
        <v>37746361.37625397</v>
      </c>
      <c r="I41" s="14">
        <v>0</v>
      </c>
      <c r="J41" s="14">
        <f>SUM(H41:I41)</f>
        <v>37746361.37625397</v>
      </c>
    </row>
    <row r="42" spans="1:10" ht="10.5" customHeight="1" x14ac:dyDescent="0.2">
      <c r="A42" s="5">
        <f t="shared" si="0"/>
        <v>42</v>
      </c>
      <c r="C42" s="19" t="s">
        <v>52</v>
      </c>
      <c r="D42" s="17">
        <v>0</v>
      </c>
      <c r="E42" s="14">
        <v>0</v>
      </c>
      <c r="F42" s="14">
        <f t="shared" si="58"/>
        <v>0</v>
      </c>
      <c r="G42" s="14">
        <v>85208499.419058189</v>
      </c>
      <c r="H42" s="14">
        <f t="shared" si="59"/>
        <v>85208499.419058189</v>
      </c>
      <c r="I42" s="14">
        <v>0</v>
      </c>
      <c r="J42" s="14">
        <f>SUM(H42:I42)</f>
        <v>85208499.419058189</v>
      </c>
    </row>
    <row r="43" spans="1:10" ht="10.5" customHeight="1" x14ac:dyDescent="0.2">
      <c r="A43" s="5">
        <f t="shared" si="0"/>
        <v>43</v>
      </c>
      <c r="C43" s="19" t="s">
        <v>53</v>
      </c>
      <c r="D43" s="17">
        <v>0</v>
      </c>
      <c r="E43" s="14">
        <v>0</v>
      </c>
      <c r="F43" s="14">
        <f t="shared" ref="F43" si="60">SUM(D43:E43)</f>
        <v>0</v>
      </c>
      <c r="G43" s="14">
        <v>211955.6232118909</v>
      </c>
      <c r="H43" s="14">
        <f t="shared" ref="H43" si="61">G43+F43</f>
        <v>211955.6232118909</v>
      </c>
      <c r="I43" s="14">
        <v>0</v>
      </c>
      <c r="J43" s="14">
        <f>SUM(H43:I43)</f>
        <v>211955.6232118909</v>
      </c>
    </row>
    <row r="44" spans="1:10" ht="10.5" customHeight="1" x14ac:dyDescent="0.2">
      <c r="A44" s="5">
        <f t="shared" si="0"/>
        <v>44</v>
      </c>
      <c r="C44" s="16" t="s">
        <v>54</v>
      </c>
      <c r="D44" s="28">
        <f>D38+D40+D41+D42-D43</f>
        <v>104154528.42170918</v>
      </c>
      <c r="E44" s="28">
        <f t="shared" ref="E44:J44" si="62">E38+E40+E41+E42-E43</f>
        <v>-123624912.75396696</v>
      </c>
      <c r="F44" s="28">
        <f t="shared" si="62"/>
        <v>-19470384.332257777</v>
      </c>
      <c r="G44" s="28">
        <f t="shared" si="62"/>
        <v>188446160.13980314</v>
      </c>
      <c r="H44" s="28">
        <f t="shared" si="62"/>
        <v>168975775.80754563</v>
      </c>
      <c r="I44" s="28">
        <f t="shared" si="62"/>
        <v>37513018.909192517</v>
      </c>
      <c r="J44" s="28">
        <f t="shared" si="62"/>
        <v>206488794.71673819</v>
      </c>
    </row>
    <row r="45" spans="1:10" ht="10.5" customHeight="1" x14ac:dyDescent="0.2">
      <c r="A45" s="5">
        <f t="shared" si="0"/>
        <v>45</v>
      </c>
      <c r="B45" s="14" t="str">
        <f>" "</f>
        <v xml:space="preserve"> </v>
      </c>
      <c r="C45" s="14" t="s">
        <v>41</v>
      </c>
      <c r="D45" s="17"/>
      <c r="E45" s="14"/>
      <c r="J45" s="14"/>
    </row>
    <row r="46" spans="1:10" ht="10.5" customHeight="1" x14ac:dyDescent="0.2">
      <c r="A46" s="5">
        <f t="shared" si="0"/>
        <v>46</v>
      </c>
      <c r="B46" s="14" t="str">
        <f>" "</f>
        <v xml:space="preserve"> </v>
      </c>
      <c r="C46" s="14" t="s">
        <v>55</v>
      </c>
      <c r="D46" s="17">
        <f t="shared" ref="D46:J46" si="63">SUM(D368,D369, D370)</f>
        <v>1552780508.3099999</v>
      </c>
      <c r="E46" s="17">
        <f t="shared" si="63"/>
        <v>-137231603.30999994</v>
      </c>
      <c r="F46" s="17">
        <f t="shared" si="63"/>
        <v>1415548905</v>
      </c>
      <c r="G46" s="17">
        <f t="shared" si="63"/>
        <v>167420708.70602</v>
      </c>
      <c r="H46" s="17">
        <f t="shared" si="63"/>
        <v>1582969613.7060199</v>
      </c>
      <c r="I46" s="17">
        <f t="shared" si="63"/>
        <v>0</v>
      </c>
      <c r="J46" s="17">
        <f t="shared" si="63"/>
        <v>1582969613.7060199</v>
      </c>
    </row>
    <row r="47" spans="1:10" ht="10.5" customHeight="1" x14ac:dyDescent="0.2">
      <c r="A47" s="5">
        <f t="shared" si="0"/>
        <v>47</v>
      </c>
      <c r="B47" s="14" t="str">
        <f>" "</f>
        <v xml:space="preserve"> </v>
      </c>
      <c r="C47" s="14" t="s">
        <v>56</v>
      </c>
      <c r="D47" s="21"/>
      <c r="E47" s="22"/>
      <c r="F47" s="21"/>
      <c r="G47" s="22"/>
      <c r="H47" s="21"/>
      <c r="I47" s="22"/>
      <c r="J47" s="21">
        <f>(J44/J46)</f>
        <v>0.13044394088734929</v>
      </c>
    </row>
    <row r="48" spans="1:10" ht="10.5" customHeight="1" x14ac:dyDescent="0.2">
      <c r="A48" s="5">
        <f t="shared" ref="A48:A58" si="64">A47+1</f>
        <v>48</v>
      </c>
      <c r="D48" s="21"/>
      <c r="E48" s="22"/>
      <c r="F48" s="21"/>
      <c r="G48" s="22"/>
      <c r="H48" s="21"/>
      <c r="I48" s="22"/>
      <c r="J48" s="21"/>
    </row>
    <row r="49" spans="1:10" ht="10.5" customHeight="1" x14ac:dyDescent="0.2">
      <c r="A49" s="5">
        <f t="shared" si="64"/>
        <v>49</v>
      </c>
      <c r="C49" s="14" t="s">
        <v>57</v>
      </c>
      <c r="D49" s="17">
        <f>(D46+D44)</f>
        <v>1656935036.731709</v>
      </c>
      <c r="E49" s="14">
        <f>(E46+E44)</f>
        <v>-260856516.0639669</v>
      </c>
      <c r="F49" s="14">
        <f>D49+E49</f>
        <v>1396078520.667742</v>
      </c>
      <c r="G49" s="14">
        <f>(G46+G44)</f>
        <v>355866868.84582317</v>
      </c>
      <c r="H49" s="14">
        <f>(H46+H44)</f>
        <v>1751945389.5135655</v>
      </c>
      <c r="I49" s="14">
        <f>(I46+I44)</f>
        <v>37513018.909192517</v>
      </c>
      <c r="J49" s="14">
        <f>SUM(H49:I49)</f>
        <v>1789458408.4227581</v>
      </c>
    </row>
    <row r="50" spans="1:10" ht="10.5" customHeight="1" x14ac:dyDescent="0.2">
      <c r="A50" s="5">
        <f t="shared" si="64"/>
        <v>50</v>
      </c>
      <c r="B50" s="29" t="s">
        <v>58</v>
      </c>
      <c r="C50" s="30"/>
      <c r="D50" s="17"/>
      <c r="E50" s="14"/>
      <c r="J50" s="14"/>
    </row>
    <row r="51" spans="1:10" ht="10.5" customHeight="1" x14ac:dyDescent="0.2">
      <c r="A51" s="5">
        <f t="shared" si="64"/>
        <v>51</v>
      </c>
      <c r="B51" s="16" t="s">
        <v>59</v>
      </c>
      <c r="D51" s="31"/>
      <c r="E51" s="32"/>
      <c r="H51" s="32"/>
      <c r="I51" s="32"/>
      <c r="J51" s="14"/>
    </row>
    <row r="52" spans="1:10" ht="10.5" customHeight="1" x14ac:dyDescent="0.2">
      <c r="A52" s="5">
        <f t="shared" si="64"/>
        <v>52</v>
      </c>
      <c r="C52" s="33" t="s">
        <v>60</v>
      </c>
      <c r="D52" s="17"/>
      <c r="E52" s="14"/>
      <c r="J52" s="14"/>
    </row>
    <row r="53" spans="1:10" ht="10.5" customHeight="1" x14ac:dyDescent="0.2">
      <c r="A53" s="5">
        <f t="shared" si="64"/>
        <v>53</v>
      </c>
      <c r="C53" s="19" t="s">
        <v>61</v>
      </c>
      <c r="D53" s="17">
        <f t="shared" ref="D53:I53" si="65">(D119)</f>
        <v>123491168.61153847</v>
      </c>
      <c r="E53" s="14">
        <f t="shared" si="65"/>
        <v>0</v>
      </c>
      <c r="F53" s="14">
        <f t="shared" si="65"/>
        <v>123491168.61153847</v>
      </c>
      <c r="G53" s="14">
        <f t="shared" ref="G53" si="66">(G119)</f>
        <v>38292120.10217151</v>
      </c>
      <c r="H53" s="14">
        <f t="shared" si="65"/>
        <v>161783288.71370998</v>
      </c>
      <c r="I53" s="14">
        <f t="shared" si="65"/>
        <v>3712159.6054661083</v>
      </c>
      <c r="J53" s="14">
        <f t="shared" ref="J53:J67" si="67">SUM(H53:I53)</f>
        <v>165495448.31917608</v>
      </c>
    </row>
    <row r="54" spans="1:10" ht="10.5" customHeight="1" x14ac:dyDescent="0.2">
      <c r="A54" s="5">
        <f t="shared" si="64"/>
        <v>54</v>
      </c>
      <c r="C54" s="19" t="s">
        <v>62</v>
      </c>
      <c r="D54" s="17">
        <f t="shared" ref="D54:I54" si="68">(D127)+D190</f>
        <v>2988706027.3546157</v>
      </c>
      <c r="E54" s="17">
        <f t="shared" si="68"/>
        <v>-675233861.96307695</v>
      </c>
      <c r="F54" s="17">
        <f t="shared" si="68"/>
        <v>2313472165.3915386</v>
      </c>
      <c r="G54" s="17">
        <f t="shared" si="68"/>
        <v>324579306.17118335</v>
      </c>
      <c r="H54" s="17">
        <f t="shared" si="68"/>
        <v>2638051471.5627222</v>
      </c>
      <c r="I54" s="17">
        <f t="shared" si="68"/>
        <v>102985185.84678379</v>
      </c>
      <c r="J54" s="17">
        <f>(J127)+J190</f>
        <v>2741036657.4095058</v>
      </c>
    </row>
    <row r="55" spans="1:10" ht="10.5" customHeight="1" x14ac:dyDescent="0.2">
      <c r="A55" s="5">
        <f t="shared" si="64"/>
        <v>55</v>
      </c>
      <c r="C55" s="19" t="s">
        <v>63</v>
      </c>
      <c r="D55" s="17">
        <f t="shared" ref="D55:I55" si="69">(D158)</f>
        <v>1438934806.7615392</v>
      </c>
      <c r="E55" s="14">
        <f t="shared" si="69"/>
        <v>-9279582.4899999984</v>
      </c>
      <c r="F55" s="14">
        <f t="shared" si="69"/>
        <v>1429655224.2715392</v>
      </c>
      <c r="G55" s="14">
        <f t="shared" ref="G55" si="70">(G158)</f>
        <v>138822545.55742693</v>
      </c>
      <c r="H55" s="14">
        <f t="shared" si="69"/>
        <v>1568477769.8289661</v>
      </c>
      <c r="I55" s="14">
        <f t="shared" si="69"/>
        <v>50767147.794260442</v>
      </c>
      <c r="J55" s="14">
        <f t="shared" si="67"/>
        <v>1619244917.6232266</v>
      </c>
    </row>
    <row r="56" spans="1:10" ht="10.5" customHeight="1" x14ac:dyDescent="0.2">
      <c r="A56" s="5">
        <f t="shared" si="64"/>
        <v>56</v>
      </c>
      <c r="C56" s="19" t="s">
        <v>64</v>
      </c>
      <c r="D56" s="17">
        <f t="shared" ref="D56:H56" si="71">(D187)</f>
        <v>2376303497.5961499</v>
      </c>
      <c r="E56" s="14">
        <f t="shared" si="71"/>
        <v>0</v>
      </c>
      <c r="F56" s="14">
        <f t="shared" si="71"/>
        <v>2376303497.5961499</v>
      </c>
      <c r="G56" s="14">
        <f t="shared" si="71"/>
        <v>162968561.71364737</v>
      </c>
      <c r="H56" s="14">
        <f t="shared" si="71"/>
        <v>2539272059.3097973</v>
      </c>
      <c r="I56" s="14">
        <f>(I187)</f>
        <v>41464353.964781873</v>
      </c>
      <c r="J56" s="14">
        <f>SUM(H56:I56)</f>
        <v>2580736413.274579</v>
      </c>
    </row>
    <row r="57" spans="1:10" ht="10.5" customHeight="1" x14ac:dyDescent="0.2">
      <c r="A57" s="5">
        <f t="shared" si="64"/>
        <v>57</v>
      </c>
      <c r="C57" s="19" t="s">
        <v>65</v>
      </c>
      <c r="D57" s="17">
        <f t="shared" ref="D57:I57" si="72">(D204)</f>
        <v>547995454.18230784</v>
      </c>
      <c r="E57" s="14">
        <f t="shared" si="72"/>
        <v>0</v>
      </c>
      <c r="F57" s="14">
        <f t="shared" si="72"/>
        <v>547995454.18230784</v>
      </c>
      <c r="G57" s="14">
        <f t="shared" ref="G57" si="73">(G204)</f>
        <v>35102837.898244262</v>
      </c>
      <c r="H57" s="14">
        <f t="shared" si="72"/>
        <v>583098292.0805521</v>
      </c>
      <c r="I57" s="14">
        <f t="shared" si="72"/>
        <v>14934433.784305673</v>
      </c>
      <c r="J57" s="14">
        <f>SUM(H57:I57)</f>
        <v>598032725.86485779</v>
      </c>
    </row>
    <row r="58" spans="1:10" ht="10.5" customHeight="1" x14ac:dyDescent="0.2">
      <c r="A58" s="5">
        <f t="shared" si="64"/>
        <v>58</v>
      </c>
      <c r="B58" s="14" t="s">
        <v>66</v>
      </c>
      <c r="C58" s="34" t="s">
        <v>67</v>
      </c>
      <c r="D58" s="17">
        <f t="shared" ref="D58:H58" si="74">(D206)</f>
        <v>7475430954.5061522</v>
      </c>
      <c r="E58" s="14">
        <f t="shared" si="74"/>
        <v>-684513444.45307696</v>
      </c>
      <c r="F58" s="14">
        <f t="shared" si="74"/>
        <v>6790917510.0530748</v>
      </c>
      <c r="G58" s="14">
        <f t="shared" ref="G58" si="75">(G206)</f>
        <v>699765371.44267178</v>
      </c>
      <c r="H58" s="14">
        <f t="shared" si="74"/>
        <v>7490682881.4957466</v>
      </c>
      <c r="I58" s="14">
        <f>(I206)</f>
        <v>213863280.99559787</v>
      </c>
      <c r="J58" s="14">
        <f>SUM(H58:I58)</f>
        <v>7704546162.4913445</v>
      </c>
    </row>
    <row r="59" spans="1:10" ht="10.5" customHeight="1" x14ac:dyDescent="0.2">
      <c r="A59" s="5">
        <f t="shared" si="0"/>
        <v>59</v>
      </c>
      <c r="B59" s="14" t="s">
        <v>66</v>
      </c>
      <c r="C59" s="14" t="s">
        <v>68</v>
      </c>
      <c r="D59" s="17">
        <f t="shared" ref="D59:I59" si="76">(D262)</f>
        <v>2737822020.5596924</v>
      </c>
      <c r="E59" s="14">
        <f t="shared" si="76"/>
        <v>-543940861.4538461</v>
      </c>
      <c r="F59" s="14">
        <f t="shared" si="76"/>
        <v>2193881159.1058459</v>
      </c>
      <c r="G59" s="14">
        <f t="shared" ref="G59" si="77">(G262)</f>
        <v>70925931.777606487</v>
      </c>
      <c r="H59" s="14">
        <f t="shared" si="76"/>
        <v>2264807090.8834524</v>
      </c>
      <c r="I59" s="14">
        <f t="shared" si="76"/>
        <v>3485144.76</v>
      </c>
      <c r="J59" s="14">
        <f t="shared" si="67"/>
        <v>2268292235.6434526</v>
      </c>
    </row>
    <row r="60" spans="1:10" ht="10.5" customHeight="1" x14ac:dyDescent="0.2">
      <c r="A60" s="5">
        <f t="shared" si="0"/>
        <v>60</v>
      </c>
      <c r="B60" s="14" t="s">
        <v>66</v>
      </c>
      <c r="C60" s="14" t="s">
        <v>69</v>
      </c>
      <c r="D60" s="17">
        <f t="shared" ref="D60:I60" si="78">(D268)</f>
        <v>47893737.912307687</v>
      </c>
      <c r="E60" s="14">
        <f t="shared" si="78"/>
        <v>0</v>
      </c>
      <c r="F60" s="14">
        <f t="shared" si="78"/>
        <v>47893737.912307687</v>
      </c>
      <c r="G60" s="14">
        <f t="shared" ref="G60" si="79">(G268)</f>
        <v>6619735.3523076996</v>
      </c>
      <c r="H60" s="14">
        <f t="shared" si="78"/>
        <v>54513473.264615387</v>
      </c>
      <c r="I60" s="14">
        <f t="shared" si="78"/>
        <v>164598.79</v>
      </c>
      <c r="J60" s="14">
        <f t="shared" si="67"/>
        <v>54678072.054615386</v>
      </c>
    </row>
    <row r="61" spans="1:10" ht="10.5" customHeight="1" x14ac:dyDescent="0.2">
      <c r="A61" s="5">
        <f t="shared" si="0"/>
        <v>61</v>
      </c>
      <c r="B61" s="14" t="s">
        <v>66</v>
      </c>
      <c r="C61" s="14" t="s">
        <v>70</v>
      </c>
      <c r="D61" s="17">
        <f>SUM(D58-D59-D60)</f>
        <v>4689715196.034152</v>
      </c>
      <c r="E61" s="14">
        <f>SUM(E58-E59-E60)</f>
        <v>-140572582.99923086</v>
      </c>
      <c r="F61" s="14">
        <f>SUM(F58-F59-F60)</f>
        <v>4549142613.0349216</v>
      </c>
      <c r="G61" s="14">
        <f>SUM(G58-G59-G60)</f>
        <v>622219704.31275761</v>
      </c>
      <c r="H61" s="14">
        <f t="shared" ref="H61" si="80">SUM(H58-H59-H60)</f>
        <v>5171362317.3476791</v>
      </c>
      <c r="I61" s="14">
        <f>SUM(I58-I59-I60)</f>
        <v>210213537.44559789</v>
      </c>
      <c r="J61" s="14">
        <f t="shared" si="67"/>
        <v>5381575854.7932768</v>
      </c>
    </row>
    <row r="62" spans="1:10" ht="10.5" customHeight="1" x14ac:dyDescent="0.2">
      <c r="A62" s="5">
        <f t="shared" si="0"/>
        <v>62</v>
      </c>
      <c r="B62" s="14" t="s">
        <v>66</v>
      </c>
      <c r="C62" s="14" t="s">
        <v>71</v>
      </c>
      <c r="D62" s="17">
        <f t="shared" ref="D62:I62" si="81">(D280)</f>
        <v>49466594.867692299</v>
      </c>
      <c r="E62" s="14">
        <f t="shared" si="81"/>
        <v>-10000000</v>
      </c>
      <c r="F62" s="14">
        <f t="shared" si="81"/>
        <v>39466594.867692299</v>
      </c>
      <c r="G62" s="14">
        <f t="shared" ref="G62" si="82">(G280)</f>
        <v>-17450604.153846152</v>
      </c>
      <c r="H62" s="14">
        <f t="shared" si="81"/>
        <v>22015990.713846147</v>
      </c>
      <c r="I62" s="14">
        <f t="shared" si="81"/>
        <v>0</v>
      </c>
      <c r="J62" s="14">
        <f t="shared" si="67"/>
        <v>22015990.713846147</v>
      </c>
    </row>
    <row r="63" spans="1:10" ht="10.5" customHeight="1" x14ac:dyDescent="0.2">
      <c r="A63" s="5">
        <f t="shared" si="0"/>
        <v>63</v>
      </c>
      <c r="B63" s="14" t="s">
        <v>66</v>
      </c>
      <c r="C63" s="14" t="s">
        <v>72</v>
      </c>
      <c r="D63" s="17">
        <f t="shared" ref="D63:I63" si="83">(D290)</f>
        <v>376441348</v>
      </c>
      <c r="E63" s="14">
        <f t="shared" si="83"/>
        <v>0</v>
      </c>
      <c r="F63" s="14">
        <f t="shared" si="83"/>
        <v>376441348</v>
      </c>
      <c r="G63" s="14">
        <f>(G290)</f>
        <v>-29070878</v>
      </c>
      <c r="H63" s="14">
        <f t="shared" si="83"/>
        <v>347370470</v>
      </c>
      <c r="I63" s="14">
        <f t="shared" si="83"/>
        <v>0</v>
      </c>
      <c r="J63" s="14">
        <f t="shared" si="67"/>
        <v>347370470</v>
      </c>
    </row>
    <row r="64" spans="1:10" ht="10.5" customHeight="1" x14ac:dyDescent="0.2">
      <c r="A64" s="5">
        <f t="shared" si="0"/>
        <v>64</v>
      </c>
      <c r="B64" s="14" t="s">
        <v>66</v>
      </c>
      <c r="C64" s="30" t="s">
        <v>73</v>
      </c>
      <c r="D64" s="17">
        <f t="shared" ref="D64:I64" si="84">D330+D332</f>
        <v>13823952.619999999</v>
      </c>
      <c r="E64" s="14">
        <f t="shared" si="84"/>
        <v>-2554851.16</v>
      </c>
      <c r="F64" s="14">
        <f t="shared" si="84"/>
        <v>11269101.459999999</v>
      </c>
      <c r="G64" s="14">
        <f>G330+G332</f>
        <v>2690768</v>
      </c>
      <c r="H64" s="14">
        <f t="shared" si="84"/>
        <v>13959869.459999999</v>
      </c>
      <c r="I64" s="14">
        <f t="shared" si="84"/>
        <v>0</v>
      </c>
      <c r="J64" s="14">
        <f t="shared" si="67"/>
        <v>13959869.459999999</v>
      </c>
    </row>
    <row r="65" spans="1:10" ht="10.5" customHeight="1" x14ac:dyDescent="0.2">
      <c r="A65" s="5">
        <f t="shared" si="0"/>
        <v>65</v>
      </c>
      <c r="B65" s="14" t="s">
        <v>66</v>
      </c>
      <c r="C65" s="14" t="s">
        <v>74</v>
      </c>
      <c r="D65" s="17">
        <f t="shared" ref="D65:I65" si="85">(D312)</f>
        <v>230211735.5823077</v>
      </c>
      <c r="E65" s="14">
        <f t="shared" si="85"/>
        <v>-45505940.766923115</v>
      </c>
      <c r="F65" s="14">
        <f t="shared" si="85"/>
        <v>184705794.81538457</v>
      </c>
      <c r="G65" s="14">
        <f t="shared" ref="G65" si="86">(G312)</f>
        <v>11110975.539164264</v>
      </c>
      <c r="H65" s="14">
        <f t="shared" si="85"/>
        <v>195816770.3545489</v>
      </c>
      <c r="I65" s="14">
        <f t="shared" si="85"/>
        <v>0</v>
      </c>
      <c r="J65" s="14">
        <f t="shared" si="67"/>
        <v>195816770.3545489</v>
      </c>
    </row>
    <row r="66" spans="1:10" ht="10.5" customHeight="1" x14ac:dyDescent="0.2">
      <c r="A66" s="5">
        <f t="shared" si="0"/>
        <v>66</v>
      </c>
      <c r="B66" s="14" t="s">
        <v>66</v>
      </c>
      <c r="C66" s="14" t="s">
        <v>75</v>
      </c>
      <c r="D66" s="17">
        <f>(D357)</f>
        <v>90779507.219999999</v>
      </c>
      <c r="E66" s="14">
        <f>(E357)</f>
        <v>-439262</v>
      </c>
      <c r="F66" s="14">
        <f>(F357)</f>
        <v>90340245.219999999</v>
      </c>
      <c r="G66" s="14">
        <f t="shared" ref="G66" si="87">(G357)</f>
        <v>17997820.179999992</v>
      </c>
      <c r="H66" s="14">
        <f>(H357)</f>
        <v>108338065.39999999</v>
      </c>
      <c r="I66" s="14">
        <f>(I357)</f>
        <v>0</v>
      </c>
      <c r="J66" s="14">
        <f t="shared" si="67"/>
        <v>108338065.39999999</v>
      </c>
    </row>
    <row r="67" spans="1:10" ht="10.5" customHeight="1" x14ac:dyDescent="0.2">
      <c r="A67" s="5">
        <f t="shared" si="0"/>
        <v>67</v>
      </c>
      <c r="B67" s="14" t="s">
        <v>66</v>
      </c>
      <c r="C67" s="14" t="s">
        <v>76</v>
      </c>
      <c r="D67" s="17">
        <f>(D363)</f>
        <v>36586160.401538357</v>
      </c>
      <c r="E67" s="14">
        <f>(E363)</f>
        <v>0</v>
      </c>
      <c r="F67" s="14">
        <f>(F363)</f>
        <v>36586160.401538357</v>
      </c>
      <c r="G67" s="14">
        <f t="shared" ref="G67" si="88">(G363)</f>
        <v>4562652</v>
      </c>
      <c r="H67" s="14">
        <f>(H363)</f>
        <v>41148812.401538357</v>
      </c>
      <c r="I67" s="14">
        <f>(I363)</f>
        <v>0</v>
      </c>
      <c r="J67" s="14">
        <f t="shared" si="67"/>
        <v>41148812.401538357</v>
      </c>
    </row>
    <row r="68" spans="1:10" ht="10.5" customHeight="1" x14ac:dyDescent="0.2">
      <c r="A68" s="5">
        <f t="shared" si="0"/>
        <v>68</v>
      </c>
      <c r="B68" s="14" t="s">
        <v>66</v>
      </c>
      <c r="C68" s="14" t="s">
        <v>77</v>
      </c>
      <c r="D68" s="17">
        <f t="shared" ref="D68:I68" si="89">SUM(D61-D62-D63+D64+D65+D66+D67)</f>
        <v>4635208608.9903059</v>
      </c>
      <c r="E68" s="14">
        <f t="shared" si="89"/>
        <v>-179072636.92615396</v>
      </c>
      <c r="F68" s="14">
        <f t="shared" si="89"/>
        <v>4456135972.0641527</v>
      </c>
      <c r="G68" s="14">
        <f t="shared" ref="G68" si="90">SUM(G61-G62-G63+G64+G65+G66+G67)</f>
        <v>705103402.18576801</v>
      </c>
      <c r="H68" s="14">
        <f t="shared" si="89"/>
        <v>5161239374.2499189</v>
      </c>
      <c r="I68" s="14">
        <f t="shared" si="89"/>
        <v>210213537.44559789</v>
      </c>
      <c r="J68" s="14">
        <f>SUM(H68:I68)</f>
        <v>5371452911.6955166</v>
      </c>
    </row>
    <row r="69" spans="1:10" ht="10.5" customHeight="1" x14ac:dyDescent="0.2">
      <c r="A69" s="5">
        <f t="shared" si="0"/>
        <v>69</v>
      </c>
      <c r="B69" s="14" t="s">
        <v>66</v>
      </c>
      <c r="C69" s="14" t="s">
        <v>66</v>
      </c>
      <c r="D69" s="17"/>
      <c r="E69" s="14"/>
      <c r="J69" s="14"/>
    </row>
    <row r="70" spans="1:10" ht="10.5" customHeight="1" x14ac:dyDescent="0.2">
      <c r="A70" s="5">
        <f t="shared" si="0"/>
        <v>70</v>
      </c>
      <c r="B70" s="35" t="s">
        <v>78</v>
      </c>
      <c r="D70" s="17"/>
      <c r="E70" s="14"/>
      <c r="J70" s="14"/>
    </row>
    <row r="71" spans="1:10" ht="10.5" customHeight="1" x14ac:dyDescent="0.2">
      <c r="A71" s="5">
        <f t="shared" si="0"/>
        <v>71</v>
      </c>
      <c r="B71" s="14" t="str">
        <f>" "</f>
        <v xml:space="preserve"> </v>
      </c>
      <c r="C71" s="14" t="s">
        <v>21</v>
      </c>
      <c r="D71" s="17"/>
      <c r="E71" s="14"/>
      <c r="J71" s="14"/>
    </row>
    <row r="72" spans="1:10" ht="10.5" customHeight="1" x14ac:dyDescent="0.2">
      <c r="A72" s="5">
        <f t="shared" ref="A72:A135" si="91">A71+1</f>
        <v>72</v>
      </c>
      <c r="B72" s="14" t="s">
        <v>66</v>
      </c>
      <c r="C72" s="14" t="s">
        <v>79</v>
      </c>
      <c r="D72" s="17">
        <f>(D373)</f>
        <v>1695450466.01</v>
      </c>
      <c r="E72" s="14">
        <f>(E373)</f>
        <v>-245215211.00999999</v>
      </c>
      <c r="F72" s="14">
        <f t="shared" ref="F72:F82" si="92">D72+E72</f>
        <v>1450235255</v>
      </c>
      <c r="G72" s="14">
        <f>(G373)</f>
        <v>233854380.99299848</v>
      </c>
      <c r="H72" s="14">
        <f>(H373)</f>
        <v>1684089635.9929984</v>
      </c>
      <c r="I72" s="14">
        <f>(I373)</f>
        <v>0</v>
      </c>
      <c r="J72" s="14">
        <f>SUM(H72:I72)</f>
        <v>1684089635.9929984</v>
      </c>
    </row>
    <row r="73" spans="1:10" ht="10.5" customHeight="1" x14ac:dyDescent="0.2">
      <c r="A73" s="5">
        <f t="shared" si="91"/>
        <v>73</v>
      </c>
      <c r="B73" s="14" t="s">
        <v>66</v>
      </c>
      <c r="C73" s="14" t="s">
        <v>80</v>
      </c>
      <c r="D73" s="17">
        <f>(D409)</f>
        <v>127514966.75326002</v>
      </c>
      <c r="E73" s="14">
        <f>(E409)</f>
        <v>-27580701.400000002</v>
      </c>
      <c r="F73" s="14">
        <f t="shared" si="92"/>
        <v>99934265.35326001</v>
      </c>
      <c r="G73" s="14">
        <f>(G409)</f>
        <v>-1165841</v>
      </c>
      <c r="H73" s="14">
        <f>(H409)</f>
        <v>98768424.35326001</v>
      </c>
      <c r="I73" s="14">
        <f>(I409)</f>
        <v>0</v>
      </c>
      <c r="J73" s="14">
        <f>SUM(H73:I73)</f>
        <v>98768424.35326001</v>
      </c>
    </row>
    <row r="74" spans="1:10" ht="10.5" customHeight="1" x14ac:dyDescent="0.2">
      <c r="A74" s="5">
        <f t="shared" si="91"/>
        <v>74</v>
      </c>
      <c r="B74" s="14" t="s">
        <v>66</v>
      </c>
      <c r="C74" s="14" t="s">
        <v>81</v>
      </c>
      <c r="D74" s="17">
        <f>SUM(D72+D73)</f>
        <v>1822965432.7632599</v>
      </c>
      <c r="E74" s="14">
        <f>SUM(E72+E73)</f>
        <v>-272795912.40999997</v>
      </c>
      <c r="F74" s="14">
        <f t="shared" si="92"/>
        <v>1550169520.35326</v>
      </c>
      <c r="G74" s="14">
        <f t="shared" ref="G74" si="93">SUM(G72+G73)</f>
        <v>232688539.99299848</v>
      </c>
      <c r="H74" s="14">
        <f t="shared" ref="H74:I74" si="94">SUM(H72+H73)</f>
        <v>1782858060.3462584</v>
      </c>
      <c r="I74" s="14">
        <f t="shared" si="94"/>
        <v>0</v>
      </c>
      <c r="J74" s="14">
        <f>SUM(H74:I74)</f>
        <v>1782858060.3462584</v>
      </c>
    </row>
    <row r="75" spans="1:10" ht="10.5" customHeight="1" x14ac:dyDescent="0.2">
      <c r="A75" s="5">
        <f t="shared" si="91"/>
        <v>75</v>
      </c>
      <c r="B75" s="14" t="s">
        <v>66</v>
      </c>
      <c r="C75" s="14" t="s">
        <v>27</v>
      </c>
      <c r="D75" s="17"/>
      <c r="E75" s="14"/>
      <c r="J75" s="14"/>
    </row>
    <row r="76" spans="1:10" ht="10.5" customHeight="1" x14ac:dyDescent="0.2">
      <c r="A76" s="5">
        <f t="shared" si="91"/>
        <v>76</v>
      </c>
      <c r="B76" s="14" t="s">
        <v>66</v>
      </c>
      <c r="C76" s="14" t="s">
        <v>82</v>
      </c>
      <c r="D76" s="17">
        <f>(D640)</f>
        <v>1259284350.1099999</v>
      </c>
      <c r="E76" s="14">
        <f>(E640)</f>
        <v>-311709045.31</v>
      </c>
      <c r="F76" s="14">
        <f t="shared" si="92"/>
        <v>947575304.79999995</v>
      </c>
      <c r="G76" s="14">
        <f>(G640)</f>
        <v>148727175.13481915</v>
      </c>
      <c r="H76" s="14">
        <f>(H640)</f>
        <v>1096302479.9348192</v>
      </c>
      <c r="I76" s="14">
        <f>(I640)</f>
        <v>8123919</v>
      </c>
      <c r="J76" s="14">
        <f>SUM(H76:I76)</f>
        <v>1104426398.9348192</v>
      </c>
    </row>
    <row r="77" spans="1:10" ht="10.5" customHeight="1" x14ac:dyDescent="0.2">
      <c r="A77" s="5">
        <f t="shared" si="91"/>
        <v>77</v>
      </c>
      <c r="B77" s="14" t="s">
        <v>66</v>
      </c>
      <c r="C77" s="14" t="s">
        <v>83</v>
      </c>
      <c r="D77" s="17">
        <f>(D697)</f>
        <v>214706953.66173705</v>
      </c>
      <c r="E77" s="14">
        <f>(E697)</f>
        <v>-49614949.82</v>
      </c>
      <c r="F77" s="14">
        <f t="shared" si="92"/>
        <v>165092003.84173706</v>
      </c>
      <c r="G77" s="14">
        <f>(G697)</f>
        <v>21182023.681665868</v>
      </c>
      <c r="H77" s="14">
        <f>(H697)</f>
        <v>186274027.52340293</v>
      </c>
      <c r="I77" s="14">
        <f>(I697)</f>
        <v>6970289.43659708</v>
      </c>
      <c r="J77" s="14">
        <f>SUM(H77:I77)</f>
        <v>193244316.96000001</v>
      </c>
    </row>
    <row r="78" spans="1:10" ht="10.5" customHeight="1" x14ac:dyDescent="0.2">
      <c r="A78" s="5">
        <f t="shared" si="91"/>
        <v>78</v>
      </c>
      <c r="B78" s="14" t="s">
        <v>66</v>
      </c>
      <c r="C78" s="14" t="s">
        <v>84</v>
      </c>
      <c r="D78" s="17">
        <f>(D703)</f>
        <v>7616789.9400000004</v>
      </c>
      <c r="E78" s="14">
        <f>(E703)</f>
        <v>0</v>
      </c>
      <c r="F78" s="14">
        <f t="shared" si="92"/>
        <v>7616789.9400000004</v>
      </c>
      <c r="G78" s="14">
        <f>(G703)</f>
        <v>2086567.3699999978</v>
      </c>
      <c r="H78" s="14">
        <f>(H703)</f>
        <v>9703357.3099999987</v>
      </c>
      <c r="I78" s="14">
        <f>(I703)</f>
        <v>329197.57000000053</v>
      </c>
      <c r="J78" s="14">
        <f>SUM(H78:I78)</f>
        <v>10032554.879999999</v>
      </c>
    </row>
    <row r="79" spans="1:10" ht="10.5" customHeight="1" x14ac:dyDescent="0.2">
      <c r="A79" s="5">
        <f t="shared" si="91"/>
        <v>79</v>
      </c>
      <c r="B79" s="14" t="s">
        <v>66</v>
      </c>
      <c r="C79" s="14" t="s">
        <v>85</v>
      </c>
      <c r="D79" s="17">
        <f>(D741)</f>
        <v>16155738.09</v>
      </c>
      <c r="E79" s="14">
        <f>(E741)</f>
        <v>10434427</v>
      </c>
      <c r="F79" s="14">
        <f t="shared" si="92"/>
        <v>26590165.09</v>
      </c>
      <c r="G79" s="14">
        <f>(G741)</f>
        <v>-12637609.300000003</v>
      </c>
      <c r="H79" s="14">
        <f>(H741)</f>
        <v>13952555.789999995</v>
      </c>
      <c r="I79" s="14">
        <f>(I741)</f>
        <v>169639.59999999998</v>
      </c>
      <c r="J79" s="14">
        <f t="shared" ref="J79:J88" si="95">SUM(H79:I79)</f>
        <v>14122195.389999995</v>
      </c>
    </row>
    <row r="80" spans="1:10" ht="10.5" customHeight="1" x14ac:dyDescent="0.2">
      <c r="A80" s="5">
        <f t="shared" si="91"/>
        <v>80</v>
      </c>
      <c r="B80" s="14" t="s">
        <v>66</v>
      </c>
      <c r="C80" s="14" t="s">
        <v>32</v>
      </c>
      <c r="D80" s="17">
        <f>D747</f>
        <v>5389667</v>
      </c>
      <c r="E80" s="14">
        <f>E747</f>
        <v>191050</v>
      </c>
      <c r="F80" s="14">
        <f t="shared" si="92"/>
        <v>5580717</v>
      </c>
      <c r="G80" s="14">
        <f>G747</f>
        <v>10402322</v>
      </c>
      <c r="H80" s="14">
        <f>H747</f>
        <v>15983039</v>
      </c>
      <c r="I80" s="14">
        <f>I747</f>
        <v>0</v>
      </c>
      <c r="J80" s="14">
        <f t="shared" si="95"/>
        <v>15983039</v>
      </c>
    </row>
    <row r="81" spans="1:10" ht="10.5" customHeight="1" x14ac:dyDescent="0.2">
      <c r="A81" s="5">
        <f t="shared" si="91"/>
        <v>81</v>
      </c>
      <c r="B81" s="14" t="s">
        <v>66</v>
      </c>
      <c r="C81" s="14" t="s">
        <v>86</v>
      </c>
      <c r="D81" s="17">
        <f>(D755)</f>
        <v>-74296566.689999998</v>
      </c>
      <c r="E81" s="14">
        <f>(E755)</f>
        <v>0</v>
      </c>
      <c r="F81" s="14">
        <f t="shared" si="92"/>
        <v>-74296566.689999998</v>
      </c>
      <c r="G81" s="14">
        <f>(G755)</f>
        <v>59880006.689999998</v>
      </c>
      <c r="H81" s="14">
        <f>(H755)</f>
        <v>-14416560</v>
      </c>
      <c r="I81" s="14">
        <f>(I755)</f>
        <v>0</v>
      </c>
      <c r="J81" s="14">
        <f t="shared" si="95"/>
        <v>-14416560</v>
      </c>
    </row>
    <row r="82" spans="1:10" ht="10.5" customHeight="1" x14ac:dyDescent="0.2">
      <c r="A82" s="5">
        <f t="shared" si="91"/>
        <v>82</v>
      </c>
      <c r="B82" s="14" t="s">
        <v>66</v>
      </c>
      <c r="C82" s="14" t="s">
        <v>87</v>
      </c>
      <c r="D82" s="17">
        <f>(D757)</f>
        <v>94674793</v>
      </c>
      <c r="E82" s="14">
        <f>(E757)</f>
        <v>0</v>
      </c>
      <c r="F82" s="14">
        <f t="shared" si="92"/>
        <v>94674793</v>
      </c>
      <c r="G82" s="14">
        <f>(G757)</f>
        <v>-43784522</v>
      </c>
      <c r="H82" s="14">
        <f>(H757)</f>
        <v>50890271</v>
      </c>
      <c r="I82" s="14">
        <f>(I757)</f>
        <v>0</v>
      </c>
      <c r="J82" s="14">
        <f t="shared" si="95"/>
        <v>50890271</v>
      </c>
    </row>
    <row r="83" spans="1:10" ht="10.5" customHeight="1" x14ac:dyDescent="0.2">
      <c r="A83" s="5">
        <f t="shared" si="91"/>
        <v>83</v>
      </c>
      <c r="B83" s="14" t="s">
        <v>66</v>
      </c>
      <c r="C83" s="14" t="s">
        <v>88</v>
      </c>
      <c r="D83" s="17">
        <f>D806</f>
        <v>4689346.2249048352</v>
      </c>
      <c r="E83" s="17">
        <f t="shared" ref="E83:J83" si="96">E806</f>
        <v>-621879.71774289757</v>
      </c>
      <c r="F83" s="17">
        <f t="shared" si="96"/>
        <v>4067466.5071619377</v>
      </c>
      <c r="G83" s="17">
        <f t="shared" si="96"/>
        <v>30125578.194023117</v>
      </c>
      <c r="H83" s="17">
        <f t="shared" si="96"/>
        <v>34193044.701185063</v>
      </c>
      <c r="I83" s="17">
        <f t="shared" si="96"/>
        <v>-3107538.0584475505</v>
      </c>
      <c r="J83" s="17">
        <f t="shared" si="96"/>
        <v>31085506.64273753</v>
      </c>
    </row>
    <row r="84" spans="1:10" ht="10.5" customHeight="1" x14ac:dyDescent="0.2">
      <c r="A84" s="5">
        <f t="shared" si="91"/>
        <v>84</v>
      </c>
      <c r="B84" s="14" t="s">
        <v>66</v>
      </c>
      <c r="C84" s="14" t="s">
        <v>89</v>
      </c>
      <c r="D84" s="17">
        <f>D767</f>
        <v>6049578.4495952623</v>
      </c>
      <c r="E84" s="17">
        <f t="shared" ref="E84:H84" si="97">E767</f>
        <v>-159144.29074807061</v>
      </c>
      <c r="F84" s="17">
        <f t="shared" si="97"/>
        <v>5890434.1588471923</v>
      </c>
      <c r="G84" s="17">
        <f t="shared" si="97"/>
        <v>-10687192.044719458</v>
      </c>
      <c r="H84" s="17">
        <f t="shared" si="97"/>
        <v>-4796757.8858722663</v>
      </c>
      <c r="I84" s="17">
        <f>I767</f>
        <v>-795245.3282754079</v>
      </c>
      <c r="J84" s="17">
        <f t="shared" ref="J84" si="98">J767</f>
        <v>-5592003.2141476721</v>
      </c>
    </row>
    <row r="85" spans="1:10" ht="10.5" customHeight="1" x14ac:dyDescent="0.2">
      <c r="A85" s="5">
        <f t="shared" si="91"/>
        <v>85</v>
      </c>
      <c r="B85" s="14" t="s">
        <v>66</v>
      </c>
      <c r="C85" s="14" t="s">
        <v>37</v>
      </c>
      <c r="D85" s="17">
        <f t="shared" ref="D85:J85" si="99">SUM(D76:D84)</f>
        <v>1534270649.7862368</v>
      </c>
      <c r="E85" s="17">
        <f t="shared" si="99"/>
        <v>-351479542.13849097</v>
      </c>
      <c r="F85" s="17">
        <f t="shared" si="99"/>
        <v>1182791107.6477458</v>
      </c>
      <c r="G85" s="17">
        <f t="shared" si="99"/>
        <v>205294349.72578865</v>
      </c>
      <c r="H85" s="17">
        <f t="shared" si="99"/>
        <v>1388085457.3735347</v>
      </c>
      <c r="I85" s="17">
        <f t="shared" si="99"/>
        <v>11690262.219874119</v>
      </c>
      <c r="J85" s="17">
        <f t="shared" si="99"/>
        <v>1399775719.5934095</v>
      </c>
    </row>
    <row r="86" spans="1:10" ht="10.5" customHeight="1" x14ac:dyDescent="0.2">
      <c r="A86" s="5">
        <f t="shared" si="91"/>
        <v>86</v>
      </c>
      <c r="B86" s="14" t="s">
        <v>66</v>
      </c>
      <c r="C86" s="14" t="s">
        <v>38</v>
      </c>
      <c r="D86" s="17">
        <f t="shared" ref="D86:J86" si="100">SUM(D74-D85)</f>
        <v>288694782.97702312</v>
      </c>
      <c r="E86" s="17">
        <f t="shared" si="100"/>
        <v>78683629.728491008</v>
      </c>
      <c r="F86" s="17">
        <f t="shared" si="100"/>
        <v>367378412.70551419</v>
      </c>
      <c r="G86" s="17">
        <f t="shared" si="100"/>
        <v>27394190.267209828</v>
      </c>
      <c r="H86" s="17">
        <f t="shared" si="100"/>
        <v>394772602.97272372</v>
      </c>
      <c r="I86" s="17">
        <f t="shared" si="100"/>
        <v>-11690262.219874119</v>
      </c>
      <c r="J86" s="17">
        <f t="shared" si="100"/>
        <v>383082340.75284886</v>
      </c>
    </row>
    <row r="87" spans="1:10" ht="11.25" customHeight="1" x14ac:dyDescent="0.2">
      <c r="A87" s="5">
        <f t="shared" si="91"/>
        <v>87</v>
      </c>
      <c r="B87" s="14" t="s">
        <v>22</v>
      </c>
      <c r="C87" s="14" t="s">
        <v>39</v>
      </c>
      <c r="D87" s="17">
        <v>2180587</v>
      </c>
      <c r="E87" s="14">
        <v>0</v>
      </c>
      <c r="F87" s="14">
        <f>D87+E87</f>
        <v>2180587</v>
      </c>
      <c r="G87" s="14">
        <v>742413</v>
      </c>
      <c r="H87" s="14">
        <f>SUM(F87:G87)</f>
        <v>2923000</v>
      </c>
      <c r="I87" s="14">
        <v>0</v>
      </c>
      <c r="J87" s="14">
        <f t="shared" si="95"/>
        <v>2923000</v>
      </c>
    </row>
    <row r="88" spans="1:10" ht="10.5" customHeight="1" x14ac:dyDescent="0.2">
      <c r="A88" s="5">
        <f t="shared" si="91"/>
        <v>88</v>
      </c>
      <c r="B88" s="14" t="s">
        <v>22</v>
      </c>
      <c r="C88" s="14" t="s">
        <v>40</v>
      </c>
      <c r="D88" s="17">
        <f t="shared" ref="D88:I88" si="101">SUM(D86:D87)</f>
        <v>290875369.97702312</v>
      </c>
      <c r="E88" s="14">
        <f t="shared" si="101"/>
        <v>78683629.728491008</v>
      </c>
      <c r="F88" s="14">
        <f t="shared" si="101"/>
        <v>369558999.70551419</v>
      </c>
      <c r="G88" s="14">
        <f t="shared" ref="G88" si="102">SUM(G86:G87)</f>
        <v>28136603.267209828</v>
      </c>
      <c r="H88" s="14">
        <f t="shared" si="101"/>
        <v>397695602.97272372</v>
      </c>
      <c r="I88" s="14">
        <f t="shared" si="101"/>
        <v>-11690262.219874119</v>
      </c>
      <c r="J88" s="14">
        <f t="shared" si="95"/>
        <v>386005340.75284958</v>
      </c>
    </row>
    <row r="89" spans="1:10" ht="10.5" customHeight="1" x14ac:dyDescent="0.2">
      <c r="A89" s="5">
        <f t="shared" si="91"/>
        <v>89</v>
      </c>
      <c r="D89" s="17"/>
      <c r="E89" s="14"/>
      <c r="J89" s="14"/>
    </row>
    <row r="90" spans="1:10" ht="10.5" customHeight="1" x14ac:dyDescent="0.2">
      <c r="A90" s="5">
        <f t="shared" si="91"/>
        <v>90</v>
      </c>
      <c r="B90" s="36" t="s">
        <v>90</v>
      </c>
      <c r="C90" s="37"/>
      <c r="D90" s="38"/>
      <c r="E90" s="37"/>
      <c r="F90" s="37"/>
      <c r="G90" s="39"/>
      <c r="H90" s="37"/>
      <c r="I90" s="37"/>
      <c r="J90" s="40"/>
    </row>
    <row r="91" spans="1:10" ht="10.5" customHeight="1" x14ac:dyDescent="0.2">
      <c r="A91" s="5">
        <f t="shared" si="91"/>
        <v>91</v>
      </c>
      <c r="B91" s="41"/>
      <c r="C91" s="30" t="s">
        <v>91</v>
      </c>
      <c r="D91" s="17">
        <f>-SUM(D371:D372)</f>
        <v>-142669957.70000002</v>
      </c>
      <c r="E91" s="17">
        <f>-SUM(E371:E372)</f>
        <v>107983607.70000002</v>
      </c>
      <c r="F91" s="14">
        <f t="shared" ref="F91:F97" si="103">D91+E91</f>
        <v>-34686350</v>
      </c>
      <c r="G91" s="17">
        <f>-SUM(G371:G372)</f>
        <v>-66433672.286978498</v>
      </c>
      <c r="H91" s="17">
        <f>-SUM(H371:H372)</f>
        <v>-101120022.2869785</v>
      </c>
      <c r="I91" s="17">
        <f>-SUM(I371:I372)</f>
        <v>0</v>
      </c>
      <c r="J91" s="42">
        <f>SUM(H91:I91)</f>
        <v>-101120022.2869785</v>
      </c>
    </row>
    <row r="92" spans="1:10" ht="10.5" customHeight="1" x14ac:dyDescent="0.2">
      <c r="A92" s="5">
        <f t="shared" si="91"/>
        <v>92</v>
      </c>
      <c r="B92" s="41"/>
      <c r="C92" s="30" t="s">
        <v>92</v>
      </c>
      <c r="D92" s="17">
        <f>D416</f>
        <v>97426833.939999998</v>
      </c>
      <c r="E92" s="14">
        <f>E416</f>
        <v>-31903833.939999998</v>
      </c>
      <c r="F92" s="14">
        <f t="shared" si="103"/>
        <v>65523000</v>
      </c>
      <c r="G92" s="14">
        <f>G416</f>
        <v>60278910</v>
      </c>
      <c r="H92" s="14">
        <f>H416</f>
        <v>125801910</v>
      </c>
      <c r="I92" s="14">
        <f>I416</f>
        <v>0</v>
      </c>
      <c r="J92" s="42">
        <f>SUM(H92:I92)</f>
        <v>125801910</v>
      </c>
    </row>
    <row r="93" spans="1:10" ht="10.5" customHeight="1" x14ac:dyDescent="0.2">
      <c r="A93" s="5">
        <f t="shared" si="91"/>
        <v>93</v>
      </c>
      <c r="B93" s="41"/>
      <c r="C93" s="30" t="s">
        <v>93</v>
      </c>
      <c r="D93" s="17">
        <f>D478</f>
        <v>161764877.94</v>
      </c>
      <c r="E93" s="17">
        <f t="shared" ref="E93:J93" si="104">E478</f>
        <v>-42111202.939999998</v>
      </c>
      <c r="F93" s="17">
        <f t="shared" si="104"/>
        <v>119653675</v>
      </c>
      <c r="G93" s="17">
        <f t="shared" si="104"/>
        <v>-41718620.390707001</v>
      </c>
      <c r="H93" s="17">
        <f t="shared" si="104"/>
        <v>77935054.609292999</v>
      </c>
      <c r="I93" s="17">
        <f t="shared" si="104"/>
        <v>0</v>
      </c>
      <c r="J93" s="17">
        <f t="shared" si="104"/>
        <v>77935054.609292999</v>
      </c>
    </row>
    <row r="94" spans="1:10" ht="10.5" customHeight="1" x14ac:dyDescent="0.2">
      <c r="A94" s="5">
        <f t="shared" si="91"/>
        <v>94</v>
      </c>
      <c r="B94" s="41"/>
      <c r="C94" s="30" t="s">
        <v>94</v>
      </c>
      <c r="D94" s="17">
        <f>SUM(D501,D503)+D502</f>
        <v>186031204.88</v>
      </c>
      <c r="E94" s="17">
        <f t="shared" ref="E94:J94" si="105">SUM(E501,E503)+E502</f>
        <v>-86566183.879999995</v>
      </c>
      <c r="F94" s="17">
        <f t="shared" si="105"/>
        <v>99465021</v>
      </c>
      <c r="G94" s="17">
        <f t="shared" si="105"/>
        <v>61942764.397550493</v>
      </c>
      <c r="H94" s="17">
        <f t="shared" si="105"/>
        <v>161407785.39755049</v>
      </c>
      <c r="I94" s="17">
        <f t="shared" si="105"/>
        <v>0</v>
      </c>
      <c r="J94" s="17">
        <f t="shared" si="105"/>
        <v>161407785.39755049</v>
      </c>
    </row>
    <row r="95" spans="1:10" ht="10.5" customHeight="1" x14ac:dyDescent="0.2">
      <c r="A95" s="5">
        <f t="shared" si="91"/>
        <v>95</v>
      </c>
      <c r="B95" s="41"/>
      <c r="C95" s="30" t="s">
        <v>95</v>
      </c>
      <c r="D95" s="17">
        <f>D504</f>
        <v>8952862</v>
      </c>
      <c r="E95" s="14">
        <f>E504</f>
        <v>1287141</v>
      </c>
      <c r="F95" s="14">
        <f t="shared" ref="F95" si="106">D95+E95</f>
        <v>10240003</v>
      </c>
      <c r="G95" s="14">
        <f>G504</f>
        <v>-897244.72000000067</v>
      </c>
      <c r="H95" s="14">
        <f>H504</f>
        <v>9342758.2799999993</v>
      </c>
      <c r="I95" s="14">
        <f>I504</f>
        <v>0</v>
      </c>
      <c r="J95" s="42">
        <f>SUM(H95:I95)</f>
        <v>9342758.2799999993</v>
      </c>
    </row>
    <row r="96" spans="1:10" ht="10.5" customHeight="1" x14ac:dyDescent="0.2">
      <c r="A96" s="5">
        <f t="shared" si="91"/>
        <v>96</v>
      </c>
      <c r="B96" s="41"/>
      <c r="C96" s="30" t="s">
        <v>96</v>
      </c>
      <c r="D96" s="43">
        <f>D506</f>
        <v>216985377.50999999</v>
      </c>
      <c r="E96" s="43">
        <f t="shared" ref="E96:H96" si="107">E506</f>
        <v>-2536622.5099999905</v>
      </c>
      <c r="F96" s="43">
        <f t="shared" si="107"/>
        <v>214448755</v>
      </c>
      <c r="G96" s="43">
        <f t="shared" si="107"/>
        <v>12270689.344915032</v>
      </c>
      <c r="H96" s="43">
        <f t="shared" si="107"/>
        <v>226719444.34491503</v>
      </c>
      <c r="I96" s="43">
        <f>I506</f>
        <v>0</v>
      </c>
      <c r="J96" s="43">
        <f>SUM(H96:I96)</f>
        <v>226719444.34491503</v>
      </c>
    </row>
    <row r="97" spans="1:10" ht="10.5" customHeight="1" x14ac:dyDescent="0.2">
      <c r="A97" s="5">
        <f t="shared" si="91"/>
        <v>97</v>
      </c>
      <c r="B97" s="41"/>
      <c r="C97" s="30" t="s">
        <v>97</v>
      </c>
      <c r="D97" s="17">
        <f>SUM(D91:D96)</f>
        <v>528491198.56999993</v>
      </c>
      <c r="E97" s="14">
        <f>SUM(E91:E96)</f>
        <v>-53847094.569999963</v>
      </c>
      <c r="F97" s="14">
        <f t="shared" si="103"/>
        <v>474644104</v>
      </c>
      <c r="G97" s="14">
        <f>SUM(G91:G96)</f>
        <v>25442826.344780028</v>
      </c>
      <c r="H97" s="14">
        <f>SUM(H91:H96)</f>
        <v>500086930.34478003</v>
      </c>
      <c r="I97" s="14">
        <f>SUM(I91:I96)</f>
        <v>0</v>
      </c>
      <c r="J97" s="42">
        <f t="shared" ref="J97:J99" si="108">SUM(H97:I97)</f>
        <v>500086930.34478003</v>
      </c>
    </row>
    <row r="98" spans="1:10" ht="10.5" customHeight="1" x14ac:dyDescent="0.2">
      <c r="A98" s="5">
        <f t="shared" si="91"/>
        <v>98</v>
      </c>
      <c r="B98" s="41"/>
      <c r="C98" s="30" t="s">
        <v>98</v>
      </c>
      <c r="D98" s="17">
        <f>D549</f>
        <v>0</v>
      </c>
      <c r="E98" s="17">
        <f t="shared" ref="E98:J98" si="109">E549</f>
        <v>0</v>
      </c>
      <c r="F98" s="17">
        <f t="shared" si="109"/>
        <v>0</v>
      </c>
      <c r="G98" s="17">
        <f t="shared" si="109"/>
        <v>21546000</v>
      </c>
      <c r="H98" s="17">
        <f t="shared" si="109"/>
        <v>21546000</v>
      </c>
      <c r="I98" s="17">
        <f t="shared" si="109"/>
        <v>0</v>
      </c>
      <c r="J98" s="17">
        <f t="shared" si="109"/>
        <v>21546000</v>
      </c>
    </row>
    <row r="99" spans="1:10" ht="10.5" customHeight="1" x14ac:dyDescent="0.2">
      <c r="A99" s="5">
        <f t="shared" si="91"/>
        <v>99</v>
      </c>
      <c r="B99" s="41"/>
      <c r="C99" s="30" t="s">
        <v>99</v>
      </c>
      <c r="D99" s="43">
        <f>D525</f>
        <v>13112150.15</v>
      </c>
      <c r="E99" s="43">
        <f t="shared" ref="E99:I99" si="110">E525</f>
        <v>-2849011.1500000004</v>
      </c>
      <c r="F99" s="43">
        <f t="shared" si="110"/>
        <v>10263139</v>
      </c>
      <c r="G99" s="43">
        <f t="shared" si="110"/>
        <v>2698784.053060621</v>
      </c>
      <c r="H99" s="43">
        <f t="shared" si="110"/>
        <v>12961923.053060621</v>
      </c>
      <c r="I99" s="43">
        <f t="shared" si="110"/>
        <v>0</v>
      </c>
      <c r="J99" s="44">
        <f t="shared" si="108"/>
        <v>12961923.053060621</v>
      </c>
    </row>
    <row r="100" spans="1:10" ht="10.5" customHeight="1" x14ac:dyDescent="0.2">
      <c r="A100" s="5">
        <f t="shared" si="91"/>
        <v>100</v>
      </c>
      <c r="B100" s="45"/>
      <c r="C100" s="46" t="s">
        <v>100</v>
      </c>
      <c r="D100" s="47">
        <f>SUM(D97:D99)</f>
        <v>541603348.71999991</v>
      </c>
      <c r="E100" s="48">
        <f>SUM(E97:E99)</f>
        <v>-56696105.719999962</v>
      </c>
      <c r="F100" s="48">
        <f>D100+E100</f>
        <v>484907242.99999994</v>
      </c>
      <c r="G100" s="48">
        <f>SUM(G97:G99)</f>
        <v>49687610.397840649</v>
      </c>
      <c r="H100" s="48">
        <f>SUM(H97:H99)</f>
        <v>534594853.39784062</v>
      </c>
      <c r="I100" s="48">
        <f>SUM(I97:I99)</f>
        <v>0</v>
      </c>
      <c r="J100" s="42">
        <f>SUM(H100:I100)</f>
        <v>534594853.39784062</v>
      </c>
    </row>
    <row r="101" spans="1:10" ht="10.5" customHeight="1" x14ac:dyDescent="0.2">
      <c r="A101" s="5">
        <f t="shared" si="91"/>
        <v>101</v>
      </c>
      <c r="B101" s="36" t="s">
        <v>101</v>
      </c>
      <c r="C101" s="37"/>
      <c r="D101" s="38"/>
      <c r="E101" s="37"/>
      <c r="F101" s="37"/>
      <c r="G101" s="37"/>
      <c r="H101" s="37"/>
      <c r="I101" s="37"/>
      <c r="J101" s="40"/>
    </row>
    <row r="102" spans="1:10" ht="10.5" customHeight="1" x14ac:dyDescent="0.2">
      <c r="A102" s="5">
        <f t="shared" si="91"/>
        <v>102</v>
      </c>
      <c r="B102" s="41"/>
      <c r="C102" s="30" t="s">
        <v>102</v>
      </c>
      <c r="D102" s="17">
        <f>(D640)</f>
        <v>1259284350.1099999</v>
      </c>
      <c r="E102" s="14">
        <f>(E640)</f>
        <v>-311709045.31</v>
      </c>
      <c r="F102" s="14">
        <f t="shared" ref="F102:F111" si="111">D102+E102</f>
        <v>947575304.79999995</v>
      </c>
      <c r="G102" s="14">
        <f>(G640)</f>
        <v>148727175.13481915</v>
      </c>
      <c r="H102" s="14">
        <f>(H640)</f>
        <v>1096302479.9348192</v>
      </c>
      <c r="I102" s="14">
        <f>(I640)</f>
        <v>8123919</v>
      </c>
      <c r="J102" s="42">
        <f>SUM(H102:I102)</f>
        <v>1104426398.9348192</v>
      </c>
    </row>
    <row r="103" spans="1:10" ht="10.5" customHeight="1" x14ac:dyDescent="0.2">
      <c r="A103" s="5">
        <f t="shared" si="91"/>
        <v>103</v>
      </c>
      <c r="B103" s="41"/>
      <c r="C103" s="30" t="s">
        <v>103</v>
      </c>
      <c r="D103" s="17">
        <f>-(D416)</f>
        <v>-97426833.939999998</v>
      </c>
      <c r="E103" s="14">
        <f>-(E416)</f>
        <v>31903833.939999998</v>
      </c>
      <c r="F103" s="14">
        <f t="shared" si="111"/>
        <v>-65523000</v>
      </c>
      <c r="G103" s="14">
        <f>-(G416)</f>
        <v>-60278910</v>
      </c>
      <c r="H103" s="14">
        <f>-(H416)</f>
        <v>-125801910</v>
      </c>
      <c r="I103" s="14">
        <f>-(I416)</f>
        <v>0</v>
      </c>
      <c r="J103" s="42">
        <f t="shared" ref="J103:J111" si="112">SUM(H103:I103)</f>
        <v>-125801910</v>
      </c>
    </row>
    <row r="104" spans="1:10" ht="10.5" customHeight="1" x14ac:dyDescent="0.2">
      <c r="A104" s="5">
        <f t="shared" si="91"/>
        <v>104</v>
      </c>
      <c r="B104" s="41"/>
      <c r="C104" s="30" t="s">
        <v>104</v>
      </c>
      <c r="D104" s="17">
        <f>-(D478)</f>
        <v>-161764877.94</v>
      </c>
      <c r="E104" s="14">
        <f>-(E478)</f>
        <v>42111202.939999998</v>
      </c>
      <c r="F104" s="14">
        <f t="shared" si="111"/>
        <v>-119653675</v>
      </c>
      <c r="G104" s="14">
        <f>-(G478)</f>
        <v>41718620.390707001</v>
      </c>
      <c r="H104" s="14">
        <f>-(H478)</f>
        <v>-77935054.609292999</v>
      </c>
      <c r="I104" s="14">
        <f>-(I479)</f>
        <v>0</v>
      </c>
      <c r="J104" s="42">
        <f>SUM(H104:I104)</f>
        <v>-77935054.609292999</v>
      </c>
    </row>
    <row r="105" spans="1:10" ht="10.5" customHeight="1" x14ac:dyDescent="0.2">
      <c r="A105" s="5">
        <f t="shared" si="91"/>
        <v>105</v>
      </c>
      <c r="B105" s="41"/>
      <c r="C105" s="30" t="s">
        <v>105</v>
      </c>
      <c r="D105" s="17">
        <f>-SUM(D501:D503)</f>
        <v>-186031204.88</v>
      </c>
      <c r="E105" s="17">
        <f>-SUM(E501:E503)</f>
        <v>86566183.879999995</v>
      </c>
      <c r="F105" s="14">
        <f t="shared" si="111"/>
        <v>-99465021</v>
      </c>
      <c r="G105" s="17">
        <f>-SUM(G501:G503)</f>
        <v>-61942764.397550493</v>
      </c>
      <c r="H105" s="17">
        <f>-SUM(H501:H503)</f>
        <v>-161407785.39755049</v>
      </c>
      <c r="I105" s="17">
        <f>-SUM(I501:I503)</f>
        <v>0</v>
      </c>
      <c r="J105" s="42">
        <f t="shared" si="112"/>
        <v>-161407785.39755049</v>
      </c>
    </row>
    <row r="106" spans="1:10" ht="10.5" customHeight="1" x14ac:dyDescent="0.2">
      <c r="A106" s="5">
        <f t="shared" si="91"/>
        <v>106</v>
      </c>
      <c r="B106" s="41"/>
      <c r="C106" s="30" t="s">
        <v>106</v>
      </c>
      <c r="D106" s="17">
        <f>-(D504)</f>
        <v>-8952862</v>
      </c>
      <c r="E106" s="17">
        <f>-(E504)</f>
        <v>-1287141</v>
      </c>
      <c r="F106" s="14">
        <f t="shared" ref="F106" si="113">D106+E106</f>
        <v>-10240003</v>
      </c>
      <c r="G106" s="17">
        <f>-G504</f>
        <v>897244.72000000067</v>
      </c>
      <c r="H106" s="14">
        <f>-(H504)</f>
        <v>-9342758.2799999993</v>
      </c>
      <c r="I106" s="14">
        <f>-(I504)</f>
        <v>0</v>
      </c>
      <c r="J106" s="42">
        <f t="shared" si="112"/>
        <v>-9342758.2799999993</v>
      </c>
    </row>
    <row r="107" spans="1:10" ht="10.5" customHeight="1" x14ac:dyDescent="0.2">
      <c r="A107" s="5">
        <f t="shared" si="91"/>
        <v>107</v>
      </c>
      <c r="B107" s="41"/>
      <c r="C107" s="30" t="s">
        <v>107</v>
      </c>
      <c r="D107" s="17">
        <f>-D506</f>
        <v>-216985377.50999999</v>
      </c>
      <c r="E107" s="14">
        <f>-E506</f>
        <v>2536622.5099999905</v>
      </c>
      <c r="F107" s="14">
        <f t="shared" si="111"/>
        <v>-214448755</v>
      </c>
      <c r="G107" s="14">
        <f>-G506</f>
        <v>-12270689.344915032</v>
      </c>
      <c r="H107" s="14">
        <f>-H506</f>
        <v>-226719444.34491503</v>
      </c>
      <c r="I107" s="14">
        <f>-I506</f>
        <v>0</v>
      </c>
      <c r="J107" s="42">
        <f t="shared" si="112"/>
        <v>-226719444.34491503</v>
      </c>
    </row>
    <row r="108" spans="1:10" ht="10.5" customHeight="1" x14ac:dyDescent="0.2">
      <c r="A108" s="5">
        <f t="shared" si="91"/>
        <v>108</v>
      </c>
      <c r="B108" s="41"/>
      <c r="C108" s="30" t="s">
        <v>97</v>
      </c>
      <c r="D108" s="17">
        <f>SUM(D102:D107)</f>
        <v>588123193.83999979</v>
      </c>
      <c r="E108" s="14">
        <f>SUM(E102:E107)</f>
        <v>-149878343.04000002</v>
      </c>
      <c r="F108" s="14">
        <f t="shared" ref="F108" si="114">D108+E108</f>
        <v>438244850.79999977</v>
      </c>
      <c r="G108" s="14">
        <f>SUM(G102:G107)</f>
        <v>56850676.503060624</v>
      </c>
      <c r="H108" s="14">
        <f>SUM(H102:H107)</f>
        <v>495095527.30306077</v>
      </c>
      <c r="I108" s="14">
        <f>SUM(I102:I107)</f>
        <v>8123919</v>
      </c>
      <c r="J108" s="42">
        <f t="shared" si="112"/>
        <v>503219446.30306077</v>
      </c>
    </row>
    <row r="109" spans="1:10" ht="10.5" customHeight="1" x14ac:dyDescent="0.2">
      <c r="A109" s="5">
        <f t="shared" si="91"/>
        <v>109</v>
      </c>
      <c r="B109" s="41"/>
      <c r="C109" s="30" t="s">
        <v>108</v>
      </c>
      <c r="D109" s="17">
        <f>-(D549)</f>
        <v>0</v>
      </c>
      <c r="E109" s="17">
        <f t="shared" ref="E109:J109" si="115">-(E549)</f>
        <v>0</v>
      </c>
      <c r="F109" s="17">
        <f t="shared" si="115"/>
        <v>0</v>
      </c>
      <c r="G109" s="17">
        <f t="shared" si="115"/>
        <v>-21546000</v>
      </c>
      <c r="H109" s="17">
        <f t="shared" si="115"/>
        <v>-21546000</v>
      </c>
      <c r="I109" s="17">
        <f t="shared" si="115"/>
        <v>0</v>
      </c>
      <c r="J109" s="17">
        <f t="shared" si="115"/>
        <v>-21546000</v>
      </c>
    </row>
    <row r="110" spans="1:10" ht="10.5" customHeight="1" x14ac:dyDescent="0.2">
      <c r="A110" s="5">
        <f t="shared" si="91"/>
        <v>110</v>
      </c>
      <c r="B110" s="41"/>
      <c r="C110" s="30" t="s">
        <v>109</v>
      </c>
      <c r="D110" s="17">
        <f>-(D525)</f>
        <v>-13112150.15</v>
      </c>
      <c r="E110" s="14">
        <f>-(E525)</f>
        <v>2849011.1500000004</v>
      </c>
      <c r="F110" s="14">
        <f t="shared" ref="F110" si="116">D110+E110</f>
        <v>-10263139</v>
      </c>
      <c r="G110" s="14">
        <f>-(G525)</f>
        <v>-2698784.053060621</v>
      </c>
      <c r="H110" s="14">
        <f>-(H525)</f>
        <v>-12961923.053060621</v>
      </c>
      <c r="I110" s="14">
        <f>-(I525)</f>
        <v>0</v>
      </c>
      <c r="J110" s="42">
        <f t="shared" si="112"/>
        <v>-12961923.053060621</v>
      </c>
    </row>
    <row r="111" spans="1:10" ht="10.5" customHeight="1" x14ac:dyDescent="0.2">
      <c r="A111" s="5">
        <f t="shared" si="91"/>
        <v>111</v>
      </c>
      <c r="B111" s="41"/>
      <c r="C111" s="30" t="s">
        <v>110</v>
      </c>
      <c r="D111" s="43">
        <f>-(D639)</f>
        <v>-5418390</v>
      </c>
      <c r="E111" s="49">
        <f>-(E639)</f>
        <v>0</v>
      </c>
      <c r="F111" s="49">
        <f t="shared" si="111"/>
        <v>-5418390</v>
      </c>
      <c r="G111" s="49">
        <f>-(G639)</f>
        <v>-128655</v>
      </c>
      <c r="H111" s="49">
        <f>-(H639)</f>
        <v>-5547045</v>
      </c>
      <c r="I111" s="49">
        <f>-(I639)</f>
        <v>0</v>
      </c>
      <c r="J111" s="44">
        <f t="shared" si="112"/>
        <v>-5547045</v>
      </c>
    </row>
    <row r="112" spans="1:10" ht="10.5" customHeight="1" x14ac:dyDescent="0.2">
      <c r="A112" s="5">
        <f t="shared" si="91"/>
        <v>112</v>
      </c>
      <c r="B112" s="45"/>
      <c r="C112" s="50" t="s">
        <v>111</v>
      </c>
      <c r="D112" s="47">
        <f>SUM(D108:D111)</f>
        <v>569592653.68999982</v>
      </c>
      <c r="E112" s="48">
        <f>SUM(E108:E111)</f>
        <v>-147029331.89000002</v>
      </c>
      <c r="F112" s="48">
        <f>SUM(F102:F111)</f>
        <v>860808172.59999967</v>
      </c>
      <c r="G112" s="48">
        <f t="shared" ref="G112" si="117">SUM(G108:G111)</f>
        <v>32477237.450000003</v>
      </c>
      <c r="H112" s="48">
        <f>SUM(H108:H111)</f>
        <v>455040559.25000012</v>
      </c>
      <c r="I112" s="48">
        <f>SUM(I108:I111)</f>
        <v>8123919</v>
      </c>
      <c r="J112" s="51">
        <f>SUM(H112:I112)</f>
        <v>463164478.25000012</v>
      </c>
    </row>
    <row r="113" spans="1:10" ht="10.5" customHeight="1" x14ac:dyDescent="0.2">
      <c r="A113" s="5">
        <f t="shared" si="91"/>
        <v>113</v>
      </c>
      <c r="B113" s="13" t="s">
        <v>112</v>
      </c>
      <c r="D113" s="17"/>
      <c r="E113" s="14"/>
      <c r="H113" s="52"/>
      <c r="I113" s="52"/>
      <c r="J113" s="14"/>
    </row>
    <row r="114" spans="1:10" ht="10.5" customHeight="1" x14ac:dyDescent="0.2">
      <c r="A114" s="5">
        <f t="shared" si="91"/>
        <v>114</v>
      </c>
      <c r="B114" s="14" t="s">
        <v>61</v>
      </c>
      <c r="D114" s="17"/>
      <c r="E114" s="14"/>
      <c r="J114" s="14"/>
    </row>
    <row r="115" spans="1:10" ht="10.5" customHeight="1" x14ac:dyDescent="0.2">
      <c r="A115" s="5">
        <f t="shared" si="91"/>
        <v>115</v>
      </c>
      <c r="B115" s="14" t="s">
        <v>113</v>
      </c>
      <c r="D115" s="53">
        <v>5703.01</v>
      </c>
      <c r="E115" s="14">
        <v>0</v>
      </c>
      <c r="F115" s="14">
        <f>D115+E115</f>
        <v>5703.01</v>
      </c>
      <c r="G115" s="17">
        <f>H115-F115</f>
        <v>0</v>
      </c>
      <c r="H115" s="54">
        <v>5703.01</v>
      </c>
      <c r="I115" s="17">
        <v>0</v>
      </c>
      <c r="J115" s="14">
        <f>SUM(H115:I115)</f>
        <v>5703.01</v>
      </c>
    </row>
    <row r="116" spans="1:10" ht="10.5" customHeight="1" x14ac:dyDescent="0.2">
      <c r="A116" s="5">
        <f t="shared" si="91"/>
        <v>116</v>
      </c>
      <c r="B116" s="14" t="s">
        <v>114</v>
      </c>
      <c r="D116" s="55">
        <v>56257191.067692339</v>
      </c>
      <c r="E116" s="14">
        <v>0</v>
      </c>
      <c r="F116" s="14">
        <f>D116+E116</f>
        <v>56257191.067692339</v>
      </c>
      <c r="G116" s="17">
        <f t="shared" ref="G116:G119" si="118">H116-F116</f>
        <v>9106905.5504821241</v>
      </c>
      <c r="H116" s="54">
        <v>65364096.618174464</v>
      </c>
      <c r="I116" s="17">
        <v>297438.77292164415</v>
      </c>
      <c r="J116" s="14">
        <f>SUM(H116:I116)</f>
        <v>65661535.391096108</v>
      </c>
    </row>
    <row r="117" spans="1:10" ht="10.5" customHeight="1" x14ac:dyDescent="0.2">
      <c r="A117" s="5">
        <f t="shared" si="91"/>
        <v>117</v>
      </c>
      <c r="B117" s="14" t="s">
        <v>115</v>
      </c>
      <c r="D117" s="55">
        <v>67228274.53384614</v>
      </c>
      <c r="E117" s="14">
        <v>0</v>
      </c>
      <c r="F117" s="14">
        <f>D117+E117</f>
        <v>67228274.53384614</v>
      </c>
      <c r="G117" s="17">
        <f t="shared" si="118"/>
        <v>29185214.551689371</v>
      </c>
      <c r="H117" s="54">
        <v>96413489.085535511</v>
      </c>
      <c r="I117" s="17">
        <v>3414720.8325444642</v>
      </c>
      <c r="J117" s="14">
        <f>SUM(H117:I117)</f>
        <v>99828209.918079972</v>
      </c>
    </row>
    <row r="118" spans="1:10" ht="10.5" customHeight="1" x14ac:dyDescent="0.2">
      <c r="A118" s="5">
        <f t="shared" si="91"/>
        <v>118</v>
      </c>
      <c r="B118" s="14" t="s">
        <v>66</v>
      </c>
      <c r="C118" s="14" t="s">
        <v>66</v>
      </c>
      <c r="D118" s="17"/>
      <c r="E118" s="14"/>
      <c r="G118" s="17"/>
      <c r="I118" s="17"/>
      <c r="J118" s="14"/>
    </row>
    <row r="119" spans="1:10" ht="10.5" customHeight="1" x14ac:dyDescent="0.2">
      <c r="A119" s="5">
        <f t="shared" si="91"/>
        <v>119</v>
      </c>
      <c r="B119" s="14" t="s">
        <v>66</v>
      </c>
      <c r="C119" s="14" t="s">
        <v>116</v>
      </c>
      <c r="D119" s="56">
        <f>SUM(D115:D117)</f>
        <v>123491168.61153847</v>
      </c>
      <c r="E119" s="56">
        <f>SUM(E115:E117)</f>
        <v>0</v>
      </c>
      <c r="F119" s="14">
        <f>D119+E119</f>
        <v>123491168.61153847</v>
      </c>
      <c r="G119" s="17">
        <f t="shared" si="118"/>
        <v>38292120.10217151</v>
      </c>
      <c r="H119" s="56">
        <f>SUM(H115:H117)</f>
        <v>161783288.71370998</v>
      </c>
      <c r="I119" s="57">
        <f>SUM(I115:I118)</f>
        <v>3712159.6054661083</v>
      </c>
      <c r="J119" s="14">
        <f>SUM(H119:I119)</f>
        <v>165495448.31917608</v>
      </c>
    </row>
    <row r="120" spans="1:10" ht="10.5" customHeight="1" x14ac:dyDescent="0.2">
      <c r="A120" s="5">
        <f t="shared" si="91"/>
        <v>120</v>
      </c>
      <c r="B120" s="14" t="s">
        <v>66</v>
      </c>
      <c r="C120" s="14" t="s">
        <v>66</v>
      </c>
      <c r="D120" s="17"/>
      <c r="E120" s="14"/>
      <c r="G120" s="17"/>
      <c r="I120" s="17"/>
      <c r="J120" s="14"/>
    </row>
    <row r="121" spans="1:10" ht="10.5" customHeight="1" x14ac:dyDescent="0.2">
      <c r="A121" s="5">
        <f t="shared" si="91"/>
        <v>121</v>
      </c>
      <c r="B121" s="14" t="s">
        <v>62</v>
      </c>
      <c r="D121" s="17"/>
      <c r="E121" s="14"/>
      <c r="G121" s="17"/>
      <c r="I121" s="17"/>
      <c r="J121" s="14"/>
    </row>
    <row r="122" spans="1:10" ht="10.5" customHeight="1" x14ac:dyDescent="0.2">
      <c r="A122" s="5">
        <f t="shared" si="91"/>
        <v>122</v>
      </c>
      <c r="B122" s="14" t="s">
        <v>117</v>
      </c>
      <c r="D122" s="55">
        <v>994527821.7230773</v>
      </c>
      <c r="E122" s="14">
        <v>-675233861.96307695</v>
      </c>
      <c r="F122" s="14">
        <f>D122+E122</f>
        <v>319293959.76000035</v>
      </c>
      <c r="G122" s="17">
        <f t="shared" ref="G122:G125" si="119">H122-F122</f>
        <v>16831892.280669928</v>
      </c>
      <c r="H122" s="14">
        <v>336125852.04067028</v>
      </c>
      <c r="I122" s="17">
        <v>25588974.991633654</v>
      </c>
      <c r="J122" s="14">
        <f>SUM(H122:I122)</f>
        <v>361714827.03230393</v>
      </c>
    </row>
    <row r="123" spans="1:10" ht="10.5" customHeight="1" x14ac:dyDescent="0.2">
      <c r="A123" s="5">
        <f t="shared" si="91"/>
        <v>123</v>
      </c>
      <c r="B123" s="14" t="s">
        <v>118</v>
      </c>
      <c r="D123" s="55">
        <v>1151234675.4046152</v>
      </c>
      <c r="E123" s="14">
        <v>0</v>
      </c>
      <c r="F123" s="14">
        <f>D123+E123</f>
        <v>1151234675.4046152</v>
      </c>
      <c r="G123" s="17">
        <f>H123-F123</f>
        <v>56845913.430325985</v>
      </c>
      <c r="H123" s="14">
        <v>1208080588.8349411</v>
      </c>
      <c r="I123" s="17">
        <f>20550161.96+481082.42</f>
        <v>21031244.380000003</v>
      </c>
      <c r="J123" s="14">
        <f>SUM(H123:I123)</f>
        <v>1229111833.2149413</v>
      </c>
    </row>
    <row r="124" spans="1:10" ht="10.5" customHeight="1" x14ac:dyDescent="0.2">
      <c r="A124" s="5">
        <f t="shared" si="91"/>
        <v>124</v>
      </c>
      <c r="B124" s="14" t="s">
        <v>119</v>
      </c>
      <c r="D124" s="55">
        <v>402361638.73000002</v>
      </c>
      <c r="E124" s="14">
        <v>0</v>
      </c>
      <c r="F124" s="14">
        <f>D124+E124</f>
        <v>402361638.73000002</v>
      </c>
      <c r="G124" s="17">
        <f t="shared" si="119"/>
        <v>-176214.89048010111</v>
      </c>
      <c r="H124" s="14">
        <f>634445543.89*(D124/($D$124+$D$125))</f>
        <v>402185423.83951992</v>
      </c>
      <c r="I124" s="14">
        <v>0</v>
      </c>
      <c r="J124" s="14">
        <f>SUM(H124:I124)</f>
        <v>402185423.83951992</v>
      </c>
    </row>
    <row r="125" spans="1:10" ht="10.5" customHeight="1" x14ac:dyDescent="0.2">
      <c r="A125" s="5">
        <f t="shared" si="91"/>
        <v>125</v>
      </c>
      <c r="B125" s="14" t="s">
        <v>120</v>
      </c>
      <c r="D125" s="55">
        <f>634723522.02-D124</f>
        <v>232361883.28999996</v>
      </c>
      <c r="E125" s="14">
        <v>0</v>
      </c>
      <c r="F125" s="14">
        <f>D125+E125</f>
        <v>232361883.28999996</v>
      </c>
      <c r="G125" s="17">
        <f t="shared" si="119"/>
        <v>-101763.23951989412</v>
      </c>
      <c r="H125" s="14">
        <f>634445543.89*($D$125/($D$124+$D$125))</f>
        <v>232260120.05048007</v>
      </c>
      <c r="I125" s="14">
        <v>1866450.3741891636</v>
      </c>
      <c r="J125" s="14">
        <f>SUM(H125:I125)</f>
        <v>234126570.42466924</v>
      </c>
    </row>
    <row r="126" spans="1:10" ht="10.5" customHeight="1" x14ac:dyDescent="0.2">
      <c r="A126" s="5">
        <f t="shared" si="91"/>
        <v>126</v>
      </c>
      <c r="B126" s="14" t="s">
        <v>66</v>
      </c>
      <c r="C126" s="14" t="s">
        <v>66</v>
      </c>
      <c r="D126" s="17"/>
      <c r="E126" s="14"/>
      <c r="G126" s="17"/>
      <c r="I126" s="17"/>
      <c r="J126" s="14"/>
    </row>
    <row r="127" spans="1:10" ht="10.5" customHeight="1" x14ac:dyDescent="0.2">
      <c r="A127" s="5">
        <f t="shared" si="91"/>
        <v>127</v>
      </c>
      <c r="B127" s="14" t="s">
        <v>66</v>
      </c>
      <c r="C127" s="14" t="s">
        <v>121</v>
      </c>
      <c r="D127" s="56">
        <f>SUM(D122:D126)</f>
        <v>2780486019.1476927</v>
      </c>
      <c r="E127" s="56">
        <f>SUM(E122:E126)</f>
        <v>-675233861.96307695</v>
      </c>
      <c r="F127" s="14">
        <f>D127+E127</f>
        <v>2105252157.1846156</v>
      </c>
      <c r="G127" s="17">
        <f t="shared" ref="G127" si="120">H127-F127</f>
        <v>73399827.58099556</v>
      </c>
      <c r="H127" s="57">
        <f>SUM(H122:H126)</f>
        <v>2178651984.7656112</v>
      </c>
      <c r="I127" s="57">
        <f>SUM(I122:I126)</f>
        <v>48486669.745822817</v>
      </c>
      <c r="J127" s="14">
        <f>SUM(H127:I127)</f>
        <v>2227138654.5114341</v>
      </c>
    </row>
    <row r="128" spans="1:10" ht="10.5" customHeight="1" x14ac:dyDescent="0.2">
      <c r="A128" s="5">
        <f t="shared" si="91"/>
        <v>128</v>
      </c>
      <c r="B128" s="14" t="s">
        <v>66</v>
      </c>
      <c r="C128" s="14" t="s">
        <v>66</v>
      </c>
      <c r="D128" s="17"/>
      <c r="E128" s="14"/>
      <c r="G128" s="17"/>
      <c r="I128" s="17"/>
      <c r="J128" s="14"/>
    </row>
    <row r="129" spans="1:10" ht="10.5" customHeight="1" x14ac:dyDescent="0.2">
      <c r="A129" s="5">
        <f t="shared" si="91"/>
        <v>129</v>
      </c>
      <c r="B129" s="14" t="s">
        <v>63</v>
      </c>
      <c r="D129" s="17"/>
      <c r="E129" s="14"/>
      <c r="G129" s="17"/>
      <c r="I129" s="17"/>
      <c r="J129" s="14"/>
    </row>
    <row r="130" spans="1:10" ht="10.5" customHeight="1" x14ac:dyDescent="0.2">
      <c r="A130" s="5">
        <f t="shared" si="91"/>
        <v>130</v>
      </c>
      <c r="B130" s="14" t="s">
        <v>122</v>
      </c>
      <c r="D130" s="58">
        <f>D132-D131</f>
        <v>43513608.354615375</v>
      </c>
      <c r="E130" s="14">
        <v>0</v>
      </c>
      <c r="F130" s="58">
        <f>F132-F131</f>
        <v>43513608.354615375</v>
      </c>
      <c r="G130" s="17">
        <f t="shared" ref="G130:G132" si="121">H130-F130</f>
        <v>1326165.5968375728</v>
      </c>
      <c r="H130" s="14">
        <f>H132-H131</f>
        <v>44839773.951452948</v>
      </c>
      <c r="I130" s="17">
        <f>61245+1145917.58</f>
        <v>1207162.58</v>
      </c>
      <c r="J130" s="14">
        <f t="shared" ref="J130:J144" si="122">SUM(H130:I130)</f>
        <v>46046936.531452946</v>
      </c>
    </row>
    <row r="131" spans="1:10" ht="10.5" customHeight="1" x14ac:dyDescent="0.2">
      <c r="A131" s="5">
        <f t="shared" si="91"/>
        <v>131</v>
      </c>
      <c r="C131" s="14" t="s">
        <v>123</v>
      </c>
      <c r="D131" s="58">
        <v>0</v>
      </c>
      <c r="E131" s="14">
        <v>0</v>
      </c>
      <c r="F131" s="14">
        <f>D131+E131</f>
        <v>0</v>
      </c>
      <c r="G131" s="17">
        <f t="shared" si="121"/>
        <v>0</v>
      </c>
      <c r="H131" s="14">
        <v>0</v>
      </c>
      <c r="I131" s="17">
        <v>0</v>
      </c>
      <c r="J131" s="14">
        <f t="shared" si="122"/>
        <v>0</v>
      </c>
    </row>
    <row r="132" spans="1:10" ht="10.5" customHeight="1" x14ac:dyDescent="0.2">
      <c r="A132" s="5">
        <f t="shared" si="91"/>
        <v>132</v>
      </c>
      <c r="C132" s="14" t="s">
        <v>124</v>
      </c>
      <c r="D132" s="59">
        <v>43513608.354615375</v>
      </c>
      <c r="E132" s="59">
        <f>SUM(E130:E131)</f>
        <v>0</v>
      </c>
      <c r="F132" s="14">
        <f>D132+E132</f>
        <v>43513608.354615375</v>
      </c>
      <c r="G132" s="17">
        <f t="shared" si="121"/>
        <v>1326165.5968375728</v>
      </c>
      <c r="H132" s="14">
        <v>44839773.951452948</v>
      </c>
      <c r="I132" s="57">
        <f>SUM(I130:I131)</f>
        <v>1207162.58</v>
      </c>
      <c r="J132" s="14">
        <f>SUM(H132:I132)</f>
        <v>46046936.531452946</v>
      </c>
    </row>
    <row r="133" spans="1:10" ht="10.5" customHeight="1" x14ac:dyDescent="0.2">
      <c r="A133" s="5">
        <f t="shared" si="91"/>
        <v>133</v>
      </c>
      <c r="C133" s="14" t="s">
        <v>66</v>
      </c>
      <c r="D133" s="17"/>
      <c r="E133" s="14"/>
      <c r="G133" s="17"/>
      <c r="I133" s="17"/>
      <c r="J133" s="14">
        <f t="shared" si="122"/>
        <v>0</v>
      </c>
    </row>
    <row r="134" spans="1:10" ht="10.5" customHeight="1" x14ac:dyDescent="0.2">
      <c r="A134" s="5">
        <f t="shared" si="91"/>
        <v>134</v>
      </c>
      <c r="B134" s="14" t="s">
        <v>125</v>
      </c>
      <c r="D134" s="58">
        <f>D136-D135</f>
        <v>114639693.09153846</v>
      </c>
      <c r="E134" s="14">
        <v>0</v>
      </c>
      <c r="F134" s="58">
        <f>F136-F135</f>
        <v>114118970.64153846</v>
      </c>
      <c r="G134" s="17">
        <f t="shared" ref="G134:G136" si="123">H134-F134</f>
        <v>16311533.76510562</v>
      </c>
      <c r="H134" s="14">
        <f>H136-H135</f>
        <v>130430504.40664408</v>
      </c>
      <c r="I134" s="17">
        <f>435617.912936965+1150120.07</f>
        <v>1585737.9829369651</v>
      </c>
      <c r="J134" s="14">
        <f t="shared" si="122"/>
        <v>132016242.38958104</v>
      </c>
    </row>
    <row r="135" spans="1:10" ht="10.5" customHeight="1" x14ac:dyDescent="0.2">
      <c r="A135" s="5">
        <f t="shared" si="91"/>
        <v>135</v>
      </c>
      <c r="C135" s="14" t="s">
        <v>123</v>
      </c>
      <c r="D135" s="58">
        <v>658.21</v>
      </c>
      <c r="E135" s="14">
        <v>0</v>
      </c>
      <c r="F135" s="14">
        <f>D135+E135</f>
        <v>658.21</v>
      </c>
      <c r="G135" s="17">
        <f t="shared" si="123"/>
        <v>-0.21000000000003638</v>
      </c>
      <c r="H135" s="60">
        <v>658</v>
      </c>
      <c r="I135" s="17">
        <v>0</v>
      </c>
      <c r="J135" s="14">
        <f t="shared" si="122"/>
        <v>658</v>
      </c>
    </row>
    <row r="136" spans="1:10" ht="10.5" customHeight="1" x14ac:dyDescent="0.2">
      <c r="A136" s="5">
        <f t="shared" ref="A136:A199" si="124">A135+1</f>
        <v>136</v>
      </c>
      <c r="C136" s="14" t="s">
        <v>126</v>
      </c>
      <c r="D136" s="59">
        <v>114640351.30153845</v>
      </c>
      <c r="E136" s="59">
        <f>-140464.81+-380257.64</f>
        <v>-520722.45</v>
      </c>
      <c r="F136" s="14">
        <f>D136+E136</f>
        <v>114119628.85153845</v>
      </c>
      <c r="G136" s="17">
        <f t="shared" si="123"/>
        <v>16311533.555105627</v>
      </c>
      <c r="H136" s="14">
        <v>130431162.40664408</v>
      </c>
      <c r="I136" s="57">
        <f>SUM(I134:I135)</f>
        <v>1585737.9829369651</v>
      </c>
      <c r="J136" s="14">
        <f t="shared" si="122"/>
        <v>132016900.38958104</v>
      </c>
    </row>
    <row r="137" spans="1:10" ht="10.5" customHeight="1" x14ac:dyDescent="0.2">
      <c r="A137" s="5">
        <f t="shared" si="124"/>
        <v>137</v>
      </c>
      <c r="C137" s="14" t="s">
        <v>66</v>
      </c>
      <c r="D137" s="17"/>
      <c r="E137" s="14"/>
      <c r="G137" s="17"/>
      <c r="I137" s="17"/>
      <c r="J137" s="14">
        <f t="shared" si="122"/>
        <v>0</v>
      </c>
    </row>
    <row r="138" spans="1:10" ht="10.5" customHeight="1" x14ac:dyDescent="0.2">
      <c r="A138" s="5">
        <f t="shared" si="124"/>
        <v>138</v>
      </c>
      <c r="B138" s="14" t="s">
        <v>127</v>
      </c>
      <c r="D138" s="58">
        <f>D140-D139</f>
        <v>511445886.66384625</v>
      </c>
      <c r="E138" s="14">
        <v>0</v>
      </c>
      <c r="F138" s="58">
        <f>F140-F139</f>
        <v>502687026.62384623</v>
      </c>
      <c r="G138" s="17">
        <f t="shared" ref="G138:G140" si="125">H138-F138</f>
        <v>31672680.6411286</v>
      </c>
      <c r="H138" s="14">
        <f>H140-H139</f>
        <v>534359707.26497483</v>
      </c>
      <c r="I138" s="57">
        <f>2862687.37132348+3771618.57+8792097.23</f>
        <v>15426403.17132348</v>
      </c>
      <c r="J138" s="14">
        <f t="shared" si="122"/>
        <v>549786110.43629837</v>
      </c>
    </row>
    <row r="139" spans="1:10" ht="10.5" customHeight="1" x14ac:dyDescent="0.2">
      <c r="A139" s="5">
        <f t="shared" si="124"/>
        <v>139</v>
      </c>
      <c r="C139" s="14" t="s">
        <v>123</v>
      </c>
      <c r="D139" s="58">
        <v>36493.550000000003</v>
      </c>
      <c r="E139" s="14">
        <v>0</v>
      </c>
      <c r="F139" s="14">
        <f>D139+E139</f>
        <v>36493.550000000003</v>
      </c>
      <c r="G139" s="17">
        <f t="shared" si="125"/>
        <v>0</v>
      </c>
      <c r="H139" s="60">
        <v>36493.550000000003</v>
      </c>
      <c r="I139" s="17">
        <v>0</v>
      </c>
      <c r="J139" s="14">
        <f t="shared" si="122"/>
        <v>36493.550000000003</v>
      </c>
    </row>
    <row r="140" spans="1:10" ht="10.5" customHeight="1" x14ac:dyDescent="0.2">
      <c r="A140" s="5">
        <f t="shared" si="124"/>
        <v>140</v>
      </c>
      <c r="C140" s="14" t="s">
        <v>128</v>
      </c>
      <c r="D140" s="59">
        <v>511482380.21384627</v>
      </c>
      <c r="E140" s="59">
        <f>-4471066.33+-4287793.71</f>
        <v>-8758860.0399999991</v>
      </c>
      <c r="F140" s="14">
        <f>D140+E140</f>
        <v>502723520.17384624</v>
      </c>
      <c r="G140" s="17">
        <f t="shared" si="125"/>
        <v>31672680.6411286</v>
      </c>
      <c r="H140" s="14">
        <v>534396200.81497484</v>
      </c>
      <c r="I140" s="57">
        <f>SUM(I138:I139)</f>
        <v>15426403.17132348</v>
      </c>
      <c r="J140" s="14">
        <f t="shared" si="122"/>
        <v>549822603.98629832</v>
      </c>
    </row>
    <row r="141" spans="1:10" ht="10.5" customHeight="1" x14ac:dyDescent="0.2">
      <c r="A141" s="5">
        <f t="shared" si="124"/>
        <v>141</v>
      </c>
      <c r="D141" s="17"/>
      <c r="E141" s="14"/>
      <c r="G141" s="17"/>
      <c r="I141" s="17"/>
      <c r="J141" s="14">
        <f t="shared" si="122"/>
        <v>0</v>
      </c>
    </row>
    <row r="142" spans="1:10" ht="10.5" customHeight="1" x14ac:dyDescent="0.2">
      <c r="A142" s="5">
        <f t="shared" si="124"/>
        <v>142</v>
      </c>
      <c r="B142" s="14" t="s">
        <v>129</v>
      </c>
      <c r="D142" s="58">
        <f>D144-D143</f>
        <v>238745928.55461544</v>
      </c>
      <c r="E142" s="14">
        <v>0</v>
      </c>
      <c r="F142" s="58">
        <f>F144-F143</f>
        <v>238745928.55461544</v>
      </c>
      <c r="G142" s="17">
        <f t="shared" ref="G142:G143" si="126">H142-F142</f>
        <v>26824768.175134301</v>
      </c>
      <c r="H142" s="14">
        <f>H144-H143</f>
        <v>265570696.72974974</v>
      </c>
      <c r="I142" s="17">
        <f>365230+6263928.31</f>
        <v>6629158.3099999996</v>
      </c>
      <c r="J142" s="14">
        <f t="shared" si="122"/>
        <v>272199855.03974974</v>
      </c>
    </row>
    <row r="143" spans="1:10" ht="10.5" customHeight="1" x14ac:dyDescent="0.2">
      <c r="A143" s="5">
        <f t="shared" si="124"/>
        <v>143</v>
      </c>
      <c r="C143" s="14" t="s">
        <v>123</v>
      </c>
      <c r="D143" s="58">
        <v>0</v>
      </c>
      <c r="E143" s="14">
        <v>0</v>
      </c>
      <c r="F143" s="14">
        <f>D143+E143</f>
        <v>0</v>
      </c>
      <c r="G143" s="17">
        <f t="shared" si="126"/>
        <v>0</v>
      </c>
      <c r="H143" s="14">
        <v>0</v>
      </c>
      <c r="I143" s="17">
        <v>0</v>
      </c>
      <c r="J143" s="14">
        <f t="shared" si="122"/>
        <v>0</v>
      </c>
    </row>
    <row r="144" spans="1:10" ht="10.5" customHeight="1" x14ac:dyDescent="0.2">
      <c r="A144" s="5">
        <f t="shared" si="124"/>
        <v>144</v>
      </c>
      <c r="C144" s="14" t="s">
        <v>130</v>
      </c>
      <c r="D144" s="59">
        <v>238745928.55461544</v>
      </c>
      <c r="E144" s="59">
        <f>SUM(E142:E143)</f>
        <v>0</v>
      </c>
      <c r="F144" s="14">
        <f>D144+E144</f>
        <v>238745928.55461544</v>
      </c>
      <c r="G144" s="17">
        <f>H144-F144</f>
        <v>26824768.175134301</v>
      </c>
      <c r="H144" s="14">
        <v>265570696.72974974</v>
      </c>
      <c r="I144" s="57">
        <f>SUM(I142:I143)</f>
        <v>6629158.3099999996</v>
      </c>
      <c r="J144" s="14">
        <f t="shared" si="122"/>
        <v>272199855.03974974</v>
      </c>
    </row>
    <row r="145" spans="1:10" ht="10.5" customHeight="1" x14ac:dyDescent="0.2">
      <c r="A145" s="5">
        <f t="shared" si="124"/>
        <v>145</v>
      </c>
      <c r="C145" s="14" t="s">
        <v>66</v>
      </c>
      <c r="D145" s="17"/>
      <c r="E145" s="14"/>
      <c r="G145" s="17"/>
      <c r="I145" s="17"/>
      <c r="J145" s="14"/>
    </row>
    <row r="146" spans="1:10" ht="10.5" customHeight="1" x14ac:dyDescent="0.2">
      <c r="A146" s="5">
        <f t="shared" si="124"/>
        <v>146</v>
      </c>
      <c r="B146" s="14" t="s">
        <v>131</v>
      </c>
      <c r="D146" s="58">
        <f>D148-D147</f>
        <v>252930446.90307739</v>
      </c>
      <c r="E146" s="14">
        <v>0</v>
      </c>
      <c r="F146" s="58">
        <f>F148-F147</f>
        <v>252930446.90307739</v>
      </c>
      <c r="G146" s="17">
        <f>H146-F146</f>
        <v>22630953.075683743</v>
      </c>
      <c r="H146" s="14">
        <f>H148-H147</f>
        <v>275561399.97876114</v>
      </c>
      <c r="I146" s="17">
        <f>733520+13724396.68</f>
        <v>14457916.68</v>
      </c>
      <c r="J146" s="14">
        <f>SUM(H146:I146)</f>
        <v>290019316.65876114</v>
      </c>
    </row>
    <row r="147" spans="1:10" ht="10.5" customHeight="1" x14ac:dyDescent="0.2">
      <c r="A147" s="5">
        <f t="shared" si="124"/>
        <v>147</v>
      </c>
      <c r="C147" s="14" t="s">
        <v>123</v>
      </c>
      <c r="D147" s="58">
        <v>33841.51</v>
      </c>
      <c r="E147" s="14">
        <v>0</v>
      </c>
      <c r="F147" s="14">
        <f>D147+E147</f>
        <v>33841.51</v>
      </c>
      <c r="G147" s="17">
        <f>H147-F147</f>
        <v>0.48999999999796273</v>
      </c>
      <c r="H147" s="60">
        <v>33842</v>
      </c>
      <c r="I147" s="17">
        <v>0</v>
      </c>
      <c r="J147" s="14">
        <f>SUM(H147:I147)</f>
        <v>33842</v>
      </c>
    </row>
    <row r="148" spans="1:10" ht="10.5" customHeight="1" x14ac:dyDescent="0.2">
      <c r="A148" s="5">
        <f t="shared" si="124"/>
        <v>148</v>
      </c>
      <c r="C148" s="14" t="s">
        <v>132</v>
      </c>
      <c r="D148" s="59">
        <v>252964288.41307738</v>
      </c>
      <c r="E148" s="59">
        <f>SUM(E146:E147)</f>
        <v>0</v>
      </c>
      <c r="F148" s="14">
        <f>D148+E148</f>
        <v>252964288.41307738</v>
      </c>
      <c r="G148" s="17">
        <f>H148-F148</f>
        <v>22630953.565683752</v>
      </c>
      <c r="H148" s="14">
        <v>275595241.97876114</v>
      </c>
      <c r="I148" s="57">
        <f>SUM(I146:I147)</f>
        <v>14457916.68</v>
      </c>
      <c r="J148" s="14">
        <f>SUM(H148:I148)</f>
        <v>290053158.65876114</v>
      </c>
    </row>
    <row r="149" spans="1:10" ht="10.5" customHeight="1" x14ac:dyDescent="0.2">
      <c r="A149" s="5">
        <f t="shared" si="124"/>
        <v>149</v>
      </c>
      <c r="C149" s="14" t="s">
        <v>66</v>
      </c>
      <c r="D149" s="17"/>
      <c r="E149" s="14"/>
      <c r="G149" s="17"/>
      <c r="I149" s="17"/>
      <c r="J149" s="14"/>
    </row>
    <row r="150" spans="1:10" ht="10.5" customHeight="1" x14ac:dyDescent="0.2">
      <c r="A150" s="5">
        <f t="shared" si="124"/>
        <v>150</v>
      </c>
      <c r="B150" s="14" t="s">
        <v>133</v>
      </c>
      <c r="D150" s="58">
        <f>D152-D151</f>
        <v>277156663.64384639</v>
      </c>
      <c r="E150" s="14">
        <v>0</v>
      </c>
      <c r="F150" s="58">
        <f>F152-F151</f>
        <v>277156663.64384639</v>
      </c>
      <c r="G150" s="17">
        <f>H150-F150</f>
        <v>40053128.701461196</v>
      </c>
      <c r="H150" s="14">
        <f>H152-H151</f>
        <v>317209792.34530759</v>
      </c>
      <c r="I150" s="17">
        <f>581237+10875133.71</f>
        <v>11456370.710000001</v>
      </c>
      <c r="J150" s="14">
        <f>SUM(H150:I150)</f>
        <v>328666163.05530757</v>
      </c>
    </row>
    <row r="151" spans="1:10" ht="10.5" customHeight="1" x14ac:dyDescent="0.2">
      <c r="A151" s="5">
        <f t="shared" si="124"/>
        <v>151</v>
      </c>
      <c r="C151" s="14" t="s">
        <v>123</v>
      </c>
      <c r="D151" s="58">
        <v>26495.279999999999</v>
      </c>
      <c r="E151" s="14">
        <v>0</v>
      </c>
      <c r="F151" s="14">
        <f>D151+E151</f>
        <v>26495.279999999999</v>
      </c>
      <c r="G151" s="17">
        <f>H151-F151</f>
        <v>-0.27999999999883585</v>
      </c>
      <c r="H151" s="60">
        <v>26495</v>
      </c>
      <c r="I151" s="17">
        <v>0</v>
      </c>
      <c r="J151" s="14">
        <f>SUM(H151:I151)</f>
        <v>26495</v>
      </c>
    </row>
    <row r="152" spans="1:10" ht="10.5" customHeight="1" x14ac:dyDescent="0.2">
      <c r="A152" s="5">
        <f t="shared" si="124"/>
        <v>152</v>
      </c>
      <c r="C152" s="14" t="s">
        <v>134</v>
      </c>
      <c r="D152" s="59">
        <v>277183158.92384636</v>
      </c>
      <c r="E152" s="59">
        <f>SUM(E150:E151)</f>
        <v>0</v>
      </c>
      <c r="F152" s="14">
        <f>D152+E152</f>
        <v>277183158.92384636</v>
      </c>
      <c r="G152" s="17">
        <f>H152-F152</f>
        <v>40053128.421461225</v>
      </c>
      <c r="H152" s="14">
        <v>317236287.34530759</v>
      </c>
      <c r="I152" s="57">
        <f>SUM(I150:I151)</f>
        <v>11456370.710000001</v>
      </c>
      <c r="J152" s="14">
        <f>SUM(H152:I152)</f>
        <v>328692658.05530757</v>
      </c>
    </row>
    <row r="153" spans="1:10" ht="10.5" customHeight="1" x14ac:dyDescent="0.2">
      <c r="A153" s="5">
        <f t="shared" si="124"/>
        <v>153</v>
      </c>
      <c r="C153" s="14" t="s">
        <v>66</v>
      </c>
      <c r="D153" s="17"/>
      <c r="E153" s="14"/>
      <c r="G153" s="17"/>
      <c r="I153" s="17"/>
      <c r="J153" s="14"/>
    </row>
    <row r="154" spans="1:10" ht="10.5" customHeight="1" x14ac:dyDescent="0.2">
      <c r="A154" s="5">
        <f t="shared" si="124"/>
        <v>154</v>
      </c>
      <c r="B154" s="14" t="s">
        <v>135</v>
      </c>
      <c r="D154" s="58">
        <f>D156-D155</f>
        <v>405091</v>
      </c>
      <c r="E154" s="14">
        <v>0</v>
      </c>
      <c r="F154" s="58">
        <f>F156-F155</f>
        <v>405091</v>
      </c>
      <c r="G154" s="17">
        <f>H154-F154</f>
        <v>3315.6020757862716</v>
      </c>
      <c r="H154" s="14">
        <f>H156-H155</f>
        <v>408406.60207578627</v>
      </c>
      <c r="I154" s="17">
        <f>223+4175.36</f>
        <v>4398.3599999999997</v>
      </c>
      <c r="J154" s="14">
        <f>SUM(H154:I154)</f>
        <v>412804.96207578626</v>
      </c>
    </row>
    <row r="155" spans="1:10" ht="10.5" customHeight="1" x14ac:dyDescent="0.2">
      <c r="A155" s="5">
        <f t="shared" si="124"/>
        <v>155</v>
      </c>
      <c r="C155" s="14" t="s">
        <v>123</v>
      </c>
      <c r="D155" s="58">
        <v>0</v>
      </c>
      <c r="E155" s="14">
        <v>0</v>
      </c>
      <c r="F155" s="14">
        <f>D155+E155</f>
        <v>0</v>
      </c>
      <c r="G155" s="17">
        <f>H155-F155</f>
        <v>0</v>
      </c>
      <c r="H155" s="60">
        <v>0</v>
      </c>
      <c r="I155" s="17">
        <v>0</v>
      </c>
      <c r="J155" s="14">
        <f>SUM(H155:I155)</f>
        <v>0</v>
      </c>
    </row>
    <row r="156" spans="1:10" ht="10.5" customHeight="1" x14ac:dyDescent="0.2">
      <c r="A156" s="5">
        <f t="shared" si="124"/>
        <v>156</v>
      </c>
      <c r="C156" s="14" t="s">
        <v>136</v>
      </c>
      <c r="D156" s="59">
        <v>405091</v>
      </c>
      <c r="E156" s="59">
        <f>SUM(E154:E155)</f>
        <v>0</v>
      </c>
      <c r="F156" s="14">
        <f>D156+E156</f>
        <v>405091</v>
      </c>
      <c r="G156" s="17">
        <f>H156-F156</f>
        <v>3315.6020757862716</v>
      </c>
      <c r="H156" s="14">
        <v>408406.60207578627</v>
      </c>
      <c r="I156" s="57">
        <f>SUM(I154:I155)</f>
        <v>4398.3599999999997</v>
      </c>
      <c r="J156" s="14">
        <f>SUM(H156:I156)</f>
        <v>412804.96207578626</v>
      </c>
    </row>
    <row r="157" spans="1:10" ht="10.5" customHeight="1" x14ac:dyDescent="0.2">
      <c r="A157" s="5">
        <f t="shared" si="124"/>
        <v>157</v>
      </c>
      <c r="D157" s="17"/>
      <c r="E157" s="14"/>
      <c r="G157" s="17"/>
      <c r="I157" s="17"/>
      <c r="J157" s="14"/>
    </row>
    <row r="158" spans="1:10" ht="10.5" customHeight="1" x14ac:dyDescent="0.2">
      <c r="A158" s="5">
        <f t="shared" si="124"/>
        <v>158</v>
      </c>
      <c r="C158" s="14" t="s">
        <v>137</v>
      </c>
      <c r="D158" s="56">
        <f>SUM(D156,D152,D148,D144,D140,D136,D132)</f>
        <v>1438934806.7615392</v>
      </c>
      <c r="E158" s="56">
        <f>SUM(E156,E152,E148,E144,E140,E136,E132)</f>
        <v>-9279582.4899999984</v>
      </c>
      <c r="F158" s="14">
        <f>D158+E158</f>
        <v>1429655224.2715392</v>
      </c>
      <c r="G158" s="17">
        <f>H158-F158</f>
        <v>138822545.55742693</v>
      </c>
      <c r="H158" s="57">
        <f>SUM(H156,H152,H148,H144,H140,H136,H132)</f>
        <v>1568477769.8289661</v>
      </c>
      <c r="I158" s="57">
        <f>SUM(I156,I152,I148,I144,I140,I136,I132)</f>
        <v>50767147.794260442</v>
      </c>
      <c r="J158" s="14">
        <f>SUM(H158:I158)</f>
        <v>1619244917.6232266</v>
      </c>
    </row>
    <row r="159" spans="1:10" ht="10.5" customHeight="1" x14ac:dyDescent="0.2">
      <c r="A159" s="5">
        <f t="shared" si="124"/>
        <v>159</v>
      </c>
      <c r="B159" s="13" t="str">
        <f>B113</f>
        <v>TABLE 1-ELECTRIC PLANT IN SERVICE</v>
      </c>
      <c r="D159" s="17"/>
      <c r="E159" s="14"/>
      <c r="G159" s="17"/>
      <c r="I159" s="17"/>
      <c r="J159" s="14"/>
    </row>
    <row r="160" spans="1:10" ht="10.5" customHeight="1" x14ac:dyDescent="0.2">
      <c r="A160" s="5">
        <f t="shared" si="124"/>
        <v>160</v>
      </c>
      <c r="B160" s="14" t="str">
        <f>" "</f>
        <v xml:space="preserve"> </v>
      </c>
      <c r="D160" s="17"/>
      <c r="E160" s="14"/>
      <c r="G160" s="17"/>
      <c r="I160" s="17"/>
      <c r="J160" s="14"/>
    </row>
    <row r="161" spans="1:10" ht="10.5" customHeight="1" x14ac:dyDescent="0.2">
      <c r="A161" s="5">
        <f t="shared" si="124"/>
        <v>161</v>
      </c>
      <c r="B161" s="14" t="s">
        <v>64</v>
      </c>
      <c r="D161" s="17"/>
      <c r="E161" s="14"/>
      <c r="G161" s="17"/>
      <c r="I161" s="17"/>
      <c r="J161" s="14"/>
    </row>
    <row r="162" spans="1:10" ht="10.5" customHeight="1" x14ac:dyDescent="0.2">
      <c r="A162" s="5">
        <f t="shared" si="124"/>
        <v>162</v>
      </c>
      <c r="B162" s="14" t="s">
        <v>138</v>
      </c>
      <c r="D162" s="59">
        <v>10353486.627692301</v>
      </c>
      <c r="E162" s="14">
        <v>0</v>
      </c>
      <c r="F162" s="14">
        <f>D162+E162</f>
        <v>10353486.627692301</v>
      </c>
      <c r="G162" s="17">
        <f>H162-F162</f>
        <v>871811.28846154548</v>
      </c>
      <c r="H162" s="14">
        <v>11225297.916153846</v>
      </c>
      <c r="I162" s="57">
        <v>0</v>
      </c>
      <c r="J162" s="14">
        <f>SUM(H162:I162)</f>
        <v>11225297.916153846</v>
      </c>
    </row>
    <row r="163" spans="1:10" ht="10.5" customHeight="1" x14ac:dyDescent="0.2">
      <c r="A163" s="5">
        <f t="shared" si="124"/>
        <v>163</v>
      </c>
      <c r="B163" s="14" t="s">
        <v>66</v>
      </c>
      <c r="C163" s="61" t="s">
        <v>139</v>
      </c>
      <c r="D163" s="17">
        <v>1071862.26</v>
      </c>
      <c r="E163" s="14">
        <v>0</v>
      </c>
      <c r="F163" s="14">
        <f>D163+E163</f>
        <v>1071862.26</v>
      </c>
      <c r="G163" s="17">
        <f>H163-F163</f>
        <v>0</v>
      </c>
      <c r="H163" s="17">
        <f>D163</f>
        <v>1071862.26</v>
      </c>
      <c r="I163" s="17">
        <v>0</v>
      </c>
      <c r="J163" s="14">
        <f>SUM(H163:I163)</f>
        <v>1071862.26</v>
      </c>
    </row>
    <row r="164" spans="1:10" ht="10.5" customHeight="1" x14ac:dyDescent="0.2">
      <c r="A164" s="5">
        <f t="shared" si="124"/>
        <v>164</v>
      </c>
      <c r="B164" s="14" t="s">
        <v>66</v>
      </c>
      <c r="C164" s="62" t="s">
        <v>140</v>
      </c>
      <c r="D164" s="56">
        <f>SUM(D162:D163)</f>
        <v>11425348.887692301</v>
      </c>
      <c r="E164" s="56">
        <f>SUM(E162:E163)</f>
        <v>0</v>
      </c>
      <c r="F164" s="14">
        <f>D164+E164</f>
        <v>11425348.887692301</v>
      </c>
      <c r="G164" s="17">
        <f>H164-F164</f>
        <v>871811.28846154548</v>
      </c>
      <c r="H164" s="57">
        <f>SUM(H162:H163)</f>
        <v>12297160.176153846</v>
      </c>
      <c r="I164" s="57">
        <f>SUM(I162:I163)</f>
        <v>0</v>
      </c>
      <c r="J164" s="14">
        <f>SUM(H164:I164)</f>
        <v>12297160.176153846</v>
      </c>
    </row>
    <row r="165" spans="1:10" ht="10.5" customHeight="1" x14ac:dyDescent="0.2">
      <c r="A165" s="5">
        <f t="shared" si="124"/>
        <v>165</v>
      </c>
      <c r="B165" s="14" t="s">
        <v>66</v>
      </c>
      <c r="C165" s="14" t="s">
        <v>66</v>
      </c>
      <c r="D165" s="17"/>
      <c r="E165" s="14"/>
      <c r="G165" s="17"/>
      <c r="I165" s="17"/>
      <c r="J165" s="14"/>
    </row>
    <row r="166" spans="1:10" ht="10.5" customHeight="1" x14ac:dyDescent="0.2">
      <c r="A166" s="5">
        <f t="shared" si="124"/>
        <v>166</v>
      </c>
      <c r="B166" s="14" t="s">
        <v>141</v>
      </c>
      <c r="D166" s="59">
        <v>67540931.748461396</v>
      </c>
      <c r="E166" s="14">
        <v>0</v>
      </c>
      <c r="F166" s="14">
        <f>D166+E166</f>
        <v>67540931.748461396</v>
      </c>
      <c r="G166" s="17">
        <f>H166-F166</f>
        <v>5233647.428627491</v>
      </c>
      <c r="H166" s="14">
        <v>72774579.177088886</v>
      </c>
      <c r="I166" s="57">
        <f>5952976.57</f>
        <v>5952976.5700000003</v>
      </c>
      <c r="J166" s="14">
        <f>SUM(H166:I166)</f>
        <v>78727555.747088879</v>
      </c>
    </row>
    <row r="167" spans="1:10" ht="10.5" customHeight="1" x14ac:dyDescent="0.2">
      <c r="A167" s="5">
        <f t="shared" si="124"/>
        <v>167</v>
      </c>
      <c r="B167" s="14" t="s">
        <v>66</v>
      </c>
      <c r="C167" s="61" t="s">
        <v>139</v>
      </c>
      <c r="D167" s="17">
        <v>9043181.9600000009</v>
      </c>
      <c r="E167" s="14">
        <v>0</v>
      </c>
      <c r="F167" s="14">
        <f>D167+E167</f>
        <v>9043181.9600000009</v>
      </c>
      <c r="G167" s="17">
        <f>H167-F167</f>
        <v>0</v>
      </c>
      <c r="H167" s="17">
        <f>D167</f>
        <v>9043181.9600000009</v>
      </c>
      <c r="I167" s="17">
        <v>0</v>
      </c>
      <c r="J167" s="14">
        <f>SUM(H167:I167)</f>
        <v>9043181.9600000009</v>
      </c>
    </row>
    <row r="168" spans="1:10" ht="10.5" customHeight="1" x14ac:dyDescent="0.2">
      <c r="A168" s="5">
        <f t="shared" si="124"/>
        <v>168</v>
      </c>
      <c r="B168" s="14" t="s">
        <v>66</v>
      </c>
      <c r="C168" s="62" t="s">
        <v>140</v>
      </c>
      <c r="D168" s="56">
        <f t="shared" ref="D168:E168" si="127">SUM(D166:D167)</f>
        <v>76584113.708461404</v>
      </c>
      <c r="E168" s="56">
        <f t="shared" si="127"/>
        <v>0</v>
      </c>
      <c r="F168" s="14">
        <f>D168+E168</f>
        <v>76584113.708461404</v>
      </c>
      <c r="G168" s="17">
        <f>H168-F168</f>
        <v>5233647.428627491</v>
      </c>
      <c r="H168" s="57">
        <f t="shared" ref="H168" si="128">SUM(H166:H167)</f>
        <v>81817761.137088895</v>
      </c>
      <c r="I168" s="57">
        <f>SUM(I166:I167)</f>
        <v>5952976.5700000003</v>
      </c>
      <c r="J168" s="14">
        <f>SUM(H168:I168)</f>
        <v>87770737.707088888</v>
      </c>
    </row>
    <row r="169" spans="1:10" ht="10.5" customHeight="1" x14ac:dyDescent="0.2">
      <c r="A169" s="5">
        <f t="shared" si="124"/>
        <v>169</v>
      </c>
      <c r="B169" s="14" t="s">
        <v>66</v>
      </c>
      <c r="C169" s="14" t="s">
        <v>66</v>
      </c>
      <c r="D169" s="17"/>
      <c r="E169" s="14"/>
      <c r="G169" s="17"/>
      <c r="I169" s="17"/>
      <c r="J169" s="14"/>
    </row>
    <row r="170" spans="1:10" ht="10.5" customHeight="1" x14ac:dyDescent="0.2">
      <c r="A170" s="5">
        <f t="shared" si="124"/>
        <v>170</v>
      </c>
      <c r="B170" s="14" t="s">
        <v>142</v>
      </c>
      <c r="D170" s="59">
        <v>353195909.46769315</v>
      </c>
      <c r="E170" s="14">
        <v>0</v>
      </c>
      <c r="F170" s="14">
        <f>D170+E170</f>
        <v>353195909.46769315</v>
      </c>
      <c r="G170" s="17">
        <f>H170-F170</f>
        <v>28163606.024975061</v>
      </c>
      <c r="H170" s="14">
        <v>381359515.49266821</v>
      </c>
      <c r="I170" s="57">
        <f>24382989.97</f>
        <v>24382989.969999999</v>
      </c>
      <c r="J170" s="14">
        <f>SUM(H170:I170)</f>
        <v>405742505.46266818</v>
      </c>
    </row>
    <row r="171" spans="1:10" ht="10.5" customHeight="1" x14ac:dyDescent="0.2">
      <c r="A171" s="5">
        <f t="shared" si="124"/>
        <v>171</v>
      </c>
      <c r="B171" s="14" t="s">
        <v>66</v>
      </c>
      <c r="C171" s="61" t="s">
        <v>139</v>
      </c>
      <c r="D171" s="17">
        <v>51658911.420000002</v>
      </c>
      <c r="E171" s="14">
        <v>0</v>
      </c>
      <c r="F171" s="14">
        <f>D171+E171</f>
        <v>51658911.420000002</v>
      </c>
      <c r="G171" s="17">
        <f>H171-F171</f>
        <v>0</v>
      </c>
      <c r="H171" s="17">
        <f>D171</f>
        <v>51658911.420000002</v>
      </c>
      <c r="I171" s="17">
        <v>0</v>
      </c>
      <c r="J171" s="14">
        <f>SUM(H171:I171)</f>
        <v>51658911.420000002</v>
      </c>
    </row>
    <row r="172" spans="1:10" ht="10.5" customHeight="1" x14ac:dyDescent="0.2">
      <c r="A172" s="5">
        <f t="shared" si="124"/>
        <v>172</v>
      </c>
      <c r="B172" s="14" t="s">
        <v>66</v>
      </c>
      <c r="C172" s="62" t="s">
        <v>140</v>
      </c>
      <c r="D172" s="56">
        <f t="shared" ref="D172:E172" si="129">SUM(D170:D171)</f>
        <v>404854820.88769317</v>
      </c>
      <c r="E172" s="56">
        <f t="shared" si="129"/>
        <v>0</v>
      </c>
      <c r="F172" s="14">
        <f>D172+E172</f>
        <v>404854820.88769317</v>
      </c>
      <c r="G172" s="17">
        <f>H172-F172</f>
        <v>28163606.024975061</v>
      </c>
      <c r="H172" s="57">
        <f t="shared" ref="H172" si="130">SUM(H170:H171)</f>
        <v>433018426.91266823</v>
      </c>
      <c r="I172" s="57">
        <f t="shared" ref="I172" si="131">SUM(I170:I171)</f>
        <v>24382989.969999999</v>
      </c>
      <c r="J172" s="14">
        <f>SUM(H172:I172)</f>
        <v>457401416.88266826</v>
      </c>
    </row>
    <row r="173" spans="1:10" ht="10.5" customHeight="1" x14ac:dyDescent="0.2">
      <c r="A173" s="5">
        <f t="shared" si="124"/>
        <v>173</v>
      </c>
      <c r="C173" s="62"/>
      <c r="D173" s="56"/>
      <c r="E173" s="56"/>
      <c r="G173" s="17"/>
      <c r="H173" s="57"/>
      <c r="I173" s="57"/>
      <c r="J173" s="14"/>
    </row>
    <row r="174" spans="1:10" ht="10.5" customHeight="1" x14ac:dyDescent="0.2">
      <c r="A174" s="5">
        <f t="shared" si="124"/>
        <v>174</v>
      </c>
      <c r="B174" s="14" t="s">
        <v>143</v>
      </c>
      <c r="C174" s="62"/>
      <c r="D174" s="58">
        <v>0</v>
      </c>
      <c r="E174" s="14">
        <v>0</v>
      </c>
      <c r="F174" s="14">
        <f t="shared" ref="F174" si="132">D174+E174</f>
        <v>0</v>
      </c>
      <c r="G174" s="17">
        <f>H174-F174</f>
        <v>0</v>
      </c>
      <c r="H174" s="63">
        <v>0</v>
      </c>
      <c r="I174" s="17">
        <v>0</v>
      </c>
      <c r="J174" s="14">
        <f t="shared" ref="J174" si="133">SUM(H174:I174)</f>
        <v>0</v>
      </c>
    </row>
    <row r="175" spans="1:10" ht="10.5" customHeight="1" x14ac:dyDescent="0.2">
      <c r="A175" s="5">
        <f t="shared" si="124"/>
        <v>175</v>
      </c>
      <c r="C175" s="14" t="s">
        <v>144</v>
      </c>
      <c r="D175" s="56">
        <f>SUM(D174)</f>
        <v>0</v>
      </c>
      <c r="E175" s="56">
        <f>SUM(E174)</f>
        <v>0</v>
      </c>
      <c r="F175" s="14">
        <f>D175+E175</f>
        <v>0</v>
      </c>
      <c r="G175" s="17">
        <f>H175-F175</f>
        <v>0</v>
      </c>
      <c r="H175" s="57">
        <f>SUM(H174)</f>
        <v>0</v>
      </c>
      <c r="I175" s="57">
        <f>SUM(I174)</f>
        <v>0</v>
      </c>
      <c r="J175" s="14">
        <f>SUM(H175:I175)</f>
        <v>0</v>
      </c>
    </row>
    <row r="176" spans="1:10" ht="10.5" customHeight="1" x14ac:dyDescent="0.2">
      <c r="A176" s="5">
        <f t="shared" si="124"/>
        <v>176</v>
      </c>
      <c r="B176" s="14" t="str">
        <f>" "</f>
        <v xml:space="preserve"> </v>
      </c>
      <c r="D176" s="17"/>
      <c r="E176" s="14"/>
      <c r="G176" s="17"/>
      <c r="I176" s="17"/>
      <c r="J176" s="14"/>
    </row>
    <row r="177" spans="1:10" ht="10.5" customHeight="1" x14ac:dyDescent="0.2">
      <c r="A177" s="5">
        <f t="shared" si="124"/>
        <v>177</v>
      </c>
      <c r="B177" s="14" t="s">
        <v>145</v>
      </c>
      <c r="D177" s="58">
        <v>352535104.1892305</v>
      </c>
      <c r="E177" s="14">
        <v>0</v>
      </c>
      <c r="F177" s="14">
        <f t="shared" ref="F177:F185" si="134">D177+E177</f>
        <v>352535104.1892305</v>
      </c>
      <c r="G177" s="17">
        <f>H177-F177</f>
        <v>29843661.302483678</v>
      </c>
      <c r="H177" s="63">
        <v>382378765.49171418</v>
      </c>
      <c r="I177" s="17">
        <v>0</v>
      </c>
      <c r="J177" s="14">
        <f t="shared" ref="J177:J202" si="135">SUM(H177:I177)</f>
        <v>382378765.49171418</v>
      </c>
    </row>
    <row r="178" spans="1:10" ht="10.5" customHeight="1" x14ac:dyDescent="0.2">
      <c r="A178" s="5">
        <f t="shared" si="124"/>
        <v>178</v>
      </c>
      <c r="B178" s="14" t="s">
        <v>146</v>
      </c>
      <c r="D178" s="58">
        <v>169354436.45923087</v>
      </c>
      <c r="E178" s="14">
        <v>0</v>
      </c>
      <c r="F178" s="14">
        <f t="shared" si="134"/>
        <v>169354436.45923087</v>
      </c>
      <c r="G178" s="17">
        <f t="shared" ref="G178:G187" si="136">H178-F178</f>
        <v>10044766.091356158</v>
      </c>
      <c r="H178" s="63">
        <v>179399202.55058703</v>
      </c>
      <c r="I178" s="17">
        <f>50111</f>
        <v>50111</v>
      </c>
      <c r="J178" s="14">
        <f t="shared" si="135"/>
        <v>179449313.55058703</v>
      </c>
    </row>
    <row r="179" spans="1:10" ht="10.5" customHeight="1" x14ac:dyDescent="0.2">
      <c r="A179" s="5">
        <f t="shared" si="124"/>
        <v>179</v>
      </c>
      <c r="B179" s="14" t="s">
        <v>147</v>
      </c>
      <c r="D179" s="58">
        <v>57822452.156922795</v>
      </c>
      <c r="E179" s="14">
        <v>0</v>
      </c>
      <c r="F179" s="14">
        <f t="shared" si="134"/>
        <v>57822452.156922795</v>
      </c>
      <c r="G179" s="17">
        <f t="shared" si="136"/>
        <v>3638135.1223131493</v>
      </c>
      <c r="H179" s="63">
        <v>61460587.279235944</v>
      </c>
      <c r="I179" s="17">
        <f>1305654.75</f>
        <v>1305654.75</v>
      </c>
      <c r="J179" s="14">
        <f t="shared" si="135"/>
        <v>62766242.029235944</v>
      </c>
    </row>
    <row r="180" spans="1:10" ht="10.5" customHeight="1" x14ac:dyDescent="0.2">
      <c r="A180" s="5">
        <f t="shared" si="124"/>
        <v>180</v>
      </c>
      <c r="B180" s="14" t="s">
        <v>148</v>
      </c>
      <c r="D180" s="58">
        <v>355207605.81307322</v>
      </c>
      <c r="E180" s="14">
        <v>0</v>
      </c>
      <c r="F180" s="14">
        <f t="shared" si="134"/>
        <v>355207605.81307322</v>
      </c>
      <c r="G180" s="17">
        <f t="shared" si="136"/>
        <v>23284684.459669948</v>
      </c>
      <c r="H180" s="63">
        <v>378492290.27274317</v>
      </c>
      <c r="I180" s="17">
        <v>7499205.4453089591</v>
      </c>
      <c r="J180" s="14">
        <f t="shared" si="135"/>
        <v>385991495.71805215</v>
      </c>
    </row>
    <row r="181" spans="1:10" ht="10.5" customHeight="1" x14ac:dyDescent="0.2">
      <c r="A181" s="5">
        <f t="shared" si="124"/>
        <v>181</v>
      </c>
      <c r="B181" s="14" t="s">
        <v>149</v>
      </c>
      <c r="D181" s="58">
        <v>801431707.31384671</v>
      </c>
      <c r="E181" s="14">
        <v>0</v>
      </c>
      <c r="F181" s="14">
        <f t="shared" si="134"/>
        <v>801431707.31384671</v>
      </c>
      <c r="G181" s="17">
        <f t="shared" si="136"/>
        <v>52372586.375883102</v>
      </c>
      <c r="H181" s="63">
        <v>853804293.68972981</v>
      </c>
      <c r="I181" s="17">
        <f>1092133+1066008</f>
        <v>2158141</v>
      </c>
      <c r="J181" s="14">
        <f t="shared" si="135"/>
        <v>855962434.68972981</v>
      </c>
    </row>
    <row r="182" spans="1:10" ht="10.5" customHeight="1" x14ac:dyDescent="0.2">
      <c r="A182" s="5">
        <f t="shared" si="124"/>
        <v>182</v>
      </c>
      <c r="B182" s="14" t="s">
        <v>150</v>
      </c>
      <c r="D182" s="58">
        <v>73561923.584614724</v>
      </c>
      <c r="E182" s="14">
        <v>0</v>
      </c>
      <c r="F182" s="14">
        <f t="shared" si="134"/>
        <v>73561923.584614724</v>
      </c>
      <c r="G182" s="17">
        <f t="shared" si="136"/>
        <v>1858218.0221524239</v>
      </c>
      <c r="H182" s="63">
        <v>75420141.606767148</v>
      </c>
      <c r="I182" s="17">
        <v>70924</v>
      </c>
      <c r="J182" s="14">
        <f t="shared" si="135"/>
        <v>75491065.606767148</v>
      </c>
    </row>
    <row r="183" spans="1:10" ht="10.5" customHeight="1" x14ac:dyDescent="0.2">
      <c r="A183" s="5">
        <f t="shared" si="124"/>
        <v>183</v>
      </c>
      <c r="B183" s="14" t="s">
        <v>151</v>
      </c>
      <c r="D183" s="58">
        <v>122680701.30384535</v>
      </c>
      <c r="E183" s="14">
        <v>0</v>
      </c>
      <c r="F183" s="14">
        <f t="shared" si="134"/>
        <v>122680701.30384535</v>
      </c>
      <c r="G183" s="17">
        <f t="shared" si="136"/>
        <v>7736918.2167830467</v>
      </c>
      <c r="H183" s="63">
        <v>130417619.52062839</v>
      </c>
      <c r="I183" s="17">
        <f>11619.2294729154+32732</f>
        <v>44351.229472915402</v>
      </c>
      <c r="J183" s="14">
        <f t="shared" si="135"/>
        <v>130461970.75010131</v>
      </c>
    </row>
    <row r="184" spans="1:10" ht="10.5" customHeight="1" x14ac:dyDescent="0.2">
      <c r="A184" s="5">
        <f t="shared" si="124"/>
        <v>184</v>
      </c>
      <c r="B184" s="14" t="s">
        <v>152</v>
      </c>
      <c r="D184" s="58">
        <v>5664037.7838461399</v>
      </c>
      <c r="E184" s="14">
        <v>0</v>
      </c>
      <c r="F184" s="14">
        <f t="shared" si="134"/>
        <v>5664037.7838461399</v>
      </c>
      <c r="G184" s="17">
        <f t="shared" si="136"/>
        <v>-62668.561807418242</v>
      </c>
      <c r="H184" s="63">
        <v>5601369.2220387217</v>
      </c>
      <c r="I184" s="17">
        <v>0</v>
      </c>
      <c r="J184" s="14">
        <f t="shared" si="135"/>
        <v>5601369.2220387217</v>
      </c>
    </row>
    <row r="185" spans="1:10" ht="10.5" customHeight="1" x14ac:dyDescent="0.2">
      <c r="A185" s="5">
        <f t="shared" si="124"/>
        <v>185</v>
      </c>
      <c r="B185" s="14" t="s">
        <v>153</v>
      </c>
      <c r="D185" s="58">
        <v>6955201.147692306</v>
      </c>
      <c r="E185" s="14">
        <v>0</v>
      </c>
      <c r="F185" s="14">
        <f t="shared" si="134"/>
        <v>6955201.147692306</v>
      </c>
      <c r="G185" s="17">
        <f t="shared" si="136"/>
        <v>-16804.057250457816</v>
      </c>
      <c r="H185" s="63">
        <v>6938397.0904418482</v>
      </c>
      <c r="I185" s="17">
        <v>0</v>
      </c>
      <c r="J185" s="14">
        <f t="shared" si="135"/>
        <v>6938397.0904418482</v>
      </c>
    </row>
    <row r="186" spans="1:10" ht="10.5" customHeight="1" x14ac:dyDescent="0.2">
      <c r="A186" s="5">
        <f t="shared" si="124"/>
        <v>186</v>
      </c>
      <c r="B186" s="14" t="s">
        <v>66</v>
      </c>
      <c r="C186" s="14" t="s">
        <v>66</v>
      </c>
      <c r="D186" s="17"/>
      <c r="E186" s="14"/>
      <c r="G186" s="17"/>
      <c r="I186" s="17"/>
      <c r="J186" s="14"/>
    </row>
    <row r="187" spans="1:10" ht="10.5" customHeight="1" x14ac:dyDescent="0.2">
      <c r="A187" s="5">
        <f t="shared" si="124"/>
        <v>187</v>
      </c>
      <c r="B187" s="14" t="s">
        <v>66</v>
      </c>
      <c r="C187" s="14" t="s">
        <v>154</v>
      </c>
      <c r="D187" s="56">
        <f>SUM(D162,D166,D170,D174,D177:D185)</f>
        <v>2376303497.5961499</v>
      </c>
      <c r="E187" s="56">
        <f>SUM(E162,E166,E170,E174,E177:E185)</f>
        <v>0</v>
      </c>
      <c r="F187" s="14">
        <f>D187+E187</f>
        <v>2376303497.5961499</v>
      </c>
      <c r="G187" s="17">
        <f t="shared" si="136"/>
        <v>162968561.71364737</v>
      </c>
      <c r="H187" s="56">
        <f>SUM(H162,H166,H170,H174,H177:H185)</f>
        <v>2539272059.3097973</v>
      </c>
      <c r="I187" s="56">
        <f>SUM(I162,I166,I170,I174,I177:I185)</f>
        <v>41464353.964781873</v>
      </c>
      <c r="J187" s="14">
        <f t="shared" si="135"/>
        <v>2580736413.274579</v>
      </c>
    </row>
    <row r="188" spans="1:10" ht="10.5" customHeight="1" x14ac:dyDescent="0.2">
      <c r="A188" s="5">
        <f t="shared" si="124"/>
        <v>188</v>
      </c>
      <c r="D188" s="56"/>
      <c r="E188" s="56"/>
      <c r="G188" s="17"/>
      <c r="H188" s="56"/>
      <c r="I188" s="56"/>
      <c r="J188" s="14"/>
    </row>
    <row r="189" spans="1:10" ht="10.5" customHeight="1" x14ac:dyDescent="0.2">
      <c r="A189" s="5">
        <f t="shared" si="124"/>
        <v>189</v>
      </c>
      <c r="B189" s="14" t="s">
        <v>155</v>
      </c>
      <c r="C189" s="62"/>
      <c r="D189" s="58">
        <v>208220008.20692307</v>
      </c>
      <c r="E189" s="14">
        <v>0</v>
      </c>
      <c r="F189" s="14">
        <f t="shared" ref="F189" si="137">D189+E189</f>
        <v>208220008.20692307</v>
      </c>
      <c r="G189" s="17">
        <f>H189-F189</f>
        <v>251179478.59018779</v>
      </c>
      <c r="H189" s="63">
        <v>459399486.79711086</v>
      </c>
      <c r="I189" s="17">
        <v>54498516.100960977</v>
      </c>
      <c r="J189" s="14">
        <f t="shared" ref="J189" si="138">SUM(H189:I189)</f>
        <v>513898002.89807183</v>
      </c>
    </row>
    <row r="190" spans="1:10" ht="10.5" customHeight="1" x14ac:dyDescent="0.2">
      <c r="A190" s="5">
        <f t="shared" si="124"/>
        <v>190</v>
      </c>
      <c r="C190" s="14" t="s">
        <v>156</v>
      </c>
      <c r="D190" s="56">
        <f>SUM(D189)</f>
        <v>208220008.20692307</v>
      </c>
      <c r="E190" s="56">
        <f>SUM(E189)</f>
        <v>0</v>
      </c>
      <c r="F190" s="14">
        <f>D190+E190</f>
        <v>208220008.20692307</v>
      </c>
      <c r="G190" s="17">
        <f>H190-F190</f>
        <v>251179478.59018779</v>
      </c>
      <c r="H190" s="57">
        <f>SUM(H189)</f>
        <v>459399486.79711086</v>
      </c>
      <c r="I190" s="57">
        <f>SUM(I189)</f>
        <v>54498516.100960977</v>
      </c>
      <c r="J190" s="14">
        <f>SUM(H190:I190)</f>
        <v>513898002.89807183</v>
      </c>
    </row>
    <row r="191" spans="1:10" ht="10.5" customHeight="1" x14ac:dyDescent="0.2">
      <c r="A191" s="5">
        <f t="shared" si="124"/>
        <v>191</v>
      </c>
      <c r="B191" s="14" t="s">
        <v>66</v>
      </c>
      <c r="C191" s="14" t="s">
        <v>66</v>
      </c>
      <c r="D191" s="17"/>
      <c r="E191" s="14"/>
      <c r="G191" s="17"/>
      <c r="I191" s="17"/>
      <c r="J191" s="14"/>
    </row>
    <row r="192" spans="1:10" ht="10.5" customHeight="1" x14ac:dyDescent="0.2">
      <c r="A192" s="5">
        <f t="shared" si="124"/>
        <v>192</v>
      </c>
      <c r="B192" s="14" t="s">
        <v>65</v>
      </c>
      <c r="D192" s="17"/>
      <c r="E192" s="14"/>
      <c r="G192" s="17"/>
      <c r="I192" s="17"/>
      <c r="J192" s="14"/>
    </row>
    <row r="193" spans="1:10" ht="10.5" customHeight="1" x14ac:dyDescent="0.2">
      <c r="A193" s="5">
        <f t="shared" si="124"/>
        <v>193</v>
      </c>
      <c r="B193" s="14" t="s">
        <v>157</v>
      </c>
      <c r="D193" s="58">
        <v>21077173.530000001</v>
      </c>
      <c r="E193" s="14">
        <v>0</v>
      </c>
      <c r="F193" s="14">
        <f t="shared" ref="F193:F202" si="139">D193+E193</f>
        <v>21077173.530000001</v>
      </c>
      <c r="G193" s="17">
        <f t="shared" ref="G193:G204" si="140">H193-F193</f>
        <v>242307.68230769411</v>
      </c>
      <c r="H193" s="63">
        <v>21319481.212307695</v>
      </c>
      <c r="I193" s="17">
        <v>0</v>
      </c>
      <c r="J193" s="14">
        <f t="shared" si="135"/>
        <v>21319481.212307695</v>
      </c>
    </row>
    <row r="194" spans="1:10" ht="10.5" customHeight="1" x14ac:dyDescent="0.2">
      <c r="A194" s="5">
        <f t="shared" si="124"/>
        <v>194</v>
      </c>
      <c r="B194" s="14" t="s">
        <v>158</v>
      </c>
      <c r="D194" s="58">
        <v>181685433.26461551</v>
      </c>
      <c r="E194" s="14">
        <v>0</v>
      </c>
      <c r="F194" s="14">
        <f t="shared" si="139"/>
        <v>181685433.26461551</v>
      </c>
      <c r="G194" s="17">
        <f t="shared" si="140"/>
        <v>13584596.849272281</v>
      </c>
      <c r="H194" s="63">
        <v>195270030.11388779</v>
      </c>
      <c r="I194" s="17">
        <v>6317667.2802005345</v>
      </c>
      <c r="J194" s="14">
        <f>SUM(H194:I194)</f>
        <v>201587697.39408833</v>
      </c>
    </row>
    <row r="195" spans="1:10" ht="10.5" customHeight="1" x14ac:dyDescent="0.2">
      <c r="A195" s="5">
        <f t="shared" si="124"/>
        <v>195</v>
      </c>
      <c r="B195" s="14" t="s">
        <v>159</v>
      </c>
      <c r="D195" s="58">
        <v>42184736.454615384</v>
      </c>
      <c r="E195" s="14">
        <v>0</v>
      </c>
      <c r="F195" s="14">
        <f t="shared" si="139"/>
        <v>42184736.454615384</v>
      </c>
      <c r="G195" s="17">
        <f t="shared" si="140"/>
        <v>76431.592307694256</v>
      </c>
      <c r="H195" s="63">
        <v>42261168.046923079</v>
      </c>
      <c r="I195" s="17">
        <v>0</v>
      </c>
      <c r="J195" s="14">
        <f t="shared" si="135"/>
        <v>42261168.046923079</v>
      </c>
    </row>
    <row r="196" spans="1:10" ht="10.5" customHeight="1" x14ac:dyDescent="0.2">
      <c r="A196" s="5">
        <f t="shared" si="124"/>
        <v>196</v>
      </c>
      <c r="B196" s="14" t="s">
        <v>160</v>
      </c>
      <c r="D196" s="58">
        <v>135023659.11230758</v>
      </c>
      <c r="E196" s="14">
        <v>0</v>
      </c>
      <c r="F196" s="14">
        <f t="shared" si="139"/>
        <v>135023659.11230758</v>
      </c>
      <c r="G196" s="17">
        <f t="shared" si="140"/>
        <v>14390769.711888731</v>
      </c>
      <c r="H196" s="63">
        <v>149414428.82419631</v>
      </c>
      <c r="I196" s="17">
        <v>6748462.2141051395</v>
      </c>
      <c r="J196" s="14">
        <f t="shared" si="135"/>
        <v>156162891.03830144</v>
      </c>
    </row>
    <row r="197" spans="1:10" ht="10.5" customHeight="1" x14ac:dyDescent="0.2">
      <c r="A197" s="5">
        <f t="shared" si="124"/>
        <v>197</v>
      </c>
      <c r="B197" s="14" t="s">
        <v>161</v>
      </c>
      <c r="D197" s="58">
        <v>8331615.171538461</v>
      </c>
      <c r="E197" s="14">
        <v>0</v>
      </c>
      <c r="F197" s="14">
        <f t="shared" si="139"/>
        <v>8331615.171538461</v>
      </c>
      <c r="G197" s="17">
        <f t="shared" si="140"/>
        <v>2260685.9169230778</v>
      </c>
      <c r="H197" s="63">
        <v>10592301.088461539</v>
      </c>
      <c r="I197" s="17">
        <v>0</v>
      </c>
      <c r="J197" s="14">
        <f t="shared" si="135"/>
        <v>10592301.088461539</v>
      </c>
    </row>
    <row r="198" spans="1:10" ht="10.5" customHeight="1" x14ac:dyDescent="0.2">
      <c r="A198" s="5">
        <f t="shared" si="124"/>
        <v>198</v>
      </c>
      <c r="B198" s="14" t="s">
        <v>162</v>
      </c>
      <c r="D198" s="58">
        <v>16080467.154615395</v>
      </c>
      <c r="E198" s="14">
        <v>0</v>
      </c>
      <c r="F198" s="14">
        <f t="shared" si="139"/>
        <v>16080467.154615395</v>
      </c>
      <c r="G198" s="17">
        <f t="shared" si="140"/>
        <v>910035.05615383387</v>
      </c>
      <c r="H198" s="63">
        <v>16990502.210769229</v>
      </c>
      <c r="I198" s="17">
        <v>0</v>
      </c>
      <c r="J198" s="14">
        <f t="shared" si="135"/>
        <v>16990502.210769229</v>
      </c>
    </row>
    <row r="199" spans="1:10" ht="10.5" customHeight="1" x14ac:dyDescent="0.2">
      <c r="A199" s="5">
        <f t="shared" si="124"/>
        <v>199</v>
      </c>
      <c r="B199" s="14" t="s">
        <v>163</v>
      </c>
      <c r="D199" s="58">
        <v>16570088.744615378</v>
      </c>
      <c r="E199" s="14">
        <v>0</v>
      </c>
      <c r="F199" s="14">
        <f t="shared" si="139"/>
        <v>16570088.744615378</v>
      </c>
      <c r="G199" s="17">
        <f t="shared" si="140"/>
        <v>394001.3938461598</v>
      </c>
      <c r="H199" s="63">
        <v>16964090.138461538</v>
      </c>
      <c r="I199" s="17">
        <v>0</v>
      </c>
      <c r="J199" s="14">
        <f t="shared" si="135"/>
        <v>16964090.138461538</v>
      </c>
    </row>
    <row r="200" spans="1:10" ht="10.5" customHeight="1" x14ac:dyDescent="0.2">
      <c r="A200" s="5">
        <f t="shared" ref="A200:A263" si="141">A199+1</f>
        <v>200</v>
      </c>
      <c r="B200" s="14" t="s">
        <v>164</v>
      </c>
      <c r="D200" s="58">
        <v>32305600.786923084</v>
      </c>
      <c r="E200" s="14">
        <v>0</v>
      </c>
      <c r="F200" s="14">
        <f t="shared" si="139"/>
        <v>32305600.786923084</v>
      </c>
      <c r="G200" s="17">
        <f t="shared" si="140"/>
        <v>357398.54395988211</v>
      </c>
      <c r="H200" s="63">
        <v>32662999.330882967</v>
      </c>
      <c r="I200" s="17">
        <v>0</v>
      </c>
      <c r="J200" s="14">
        <f t="shared" si="135"/>
        <v>32662999.330882967</v>
      </c>
    </row>
    <row r="201" spans="1:10" ht="10.5" customHeight="1" x14ac:dyDescent="0.2">
      <c r="A201" s="5">
        <f t="shared" si="141"/>
        <v>201</v>
      </c>
      <c r="B201" s="14" t="s">
        <v>165</v>
      </c>
      <c r="D201" s="58">
        <v>83614802.927692384</v>
      </c>
      <c r="E201" s="14">
        <v>0</v>
      </c>
      <c r="F201" s="14">
        <f t="shared" si="139"/>
        <v>83614802.927692384</v>
      </c>
      <c r="G201" s="17">
        <f t="shared" si="140"/>
        <v>2468543.0577388257</v>
      </c>
      <c r="H201" s="63">
        <v>86083345.985431209</v>
      </c>
      <c r="I201" s="17">
        <f>16318.78+1851985.51</f>
        <v>1868304.29</v>
      </c>
      <c r="J201" s="14">
        <f t="shared" si="135"/>
        <v>87951650.275431216</v>
      </c>
    </row>
    <row r="202" spans="1:10" ht="10.5" customHeight="1" x14ac:dyDescent="0.2">
      <c r="A202" s="5">
        <f t="shared" si="141"/>
        <v>202</v>
      </c>
      <c r="B202" s="14" t="s">
        <v>166</v>
      </c>
      <c r="D202" s="58">
        <v>11121877.035384618</v>
      </c>
      <c r="E202" s="14">
        <v>0</v>
      </c>
      <c r="F202" s="14">
        <f t="shared" si="139"/>
        <v>11121877.035384618</v>
      </c>
      <c r="G202" s="17">
        <f t="shared" si="140"/>
        <v>418068.09384614974</v>
      </c>
      <c r="H202" s="63">
        <v>11539945.129230767</v>
      </c>
      <c r="I202" s="17">
        <v>0</v>
      </c>
      <c r="J202" s="14">
        <f t="shared" si="135"/>
        <v>11539945.129230767</v>
      </c>
    </row>
    <row r="203" spans="1:10" ht="10.5" customHeight="1" x14ac:dyDescent="0.2">
      <c r="A203" s="5">
        <f t="shared" si="141"/>
        <v>203</v>
      </c>
      <c r="B203" s="14" t="s">
        <v>66</v>
      </c>
      <c r="C203" s="14" t="s">
        <v>66</v>
      </c>
      <c r="D203" s="17"/>
      <c r="E203" s="14"/>
      <c r="G203" s="17"/>
      <c r="I203" s="17"/>
      <c r="J203" s="14"/>
    </row>
    <row r="204" spans="1:10" ht="10.5" customHeight="1" x14ac:dyDescent="0.2">
      <c r="A204" s="5">
        <f t="shared" si="141"/>
        <v>204</v>
      </c>
      <c r="B204" s="14" t="s">
        <v>66</v>
      </c>
      <c r="C204" s="14" t="s">
        <v>167</v>
      </c>
      <c r="D204" s="56">
        <f t="shared" ref="D204:E204" si="142">SUM(D193:D202)</f>
        <v>547995454.18230784</v>
      </c>
      <c r="E204" s="56">
        <f t="shared" si="142"/>
        <v>0</v>
      </c>
      <c r="F204" s="14">
        <f>D204+E204</f>
        <v>547995454.18230784</v>
      </c>
      <c r="G204" s="17">
        <f t="shared" si="140"/>
        <v>35102837.898244262</v>
      </c>
      <c r="H204" s="57">
        <f t="shared" ref="H204" si="143">SUM(H193:H202)</f>
        <v>583098292.0805521</v>
      </c>
      <c r="I204" s="57">
        <f t="shared" ref="I204" si="144">SUM(I193:I202)</f>
        <v>14934433.784305673</v>
      </c>
      <c r="J204" s="14">
        <f>SUM(H204:I204)</f>
        <v>598032725.86485779</v>
      </c>
    </row>
    <row r="205" spans="1:10" ht="10.5" customHeight="1" x14ac:dyDescent="0.2">
      <c r="A205" s="5">
        <f t="shared" si="141"/>
        <v>205</v>
      </c>
      <c r="B205" s="14" t="s">
        <v>66</v>
      </c>
      <c r="C205" s="14" t="s">
        <v>66</v>
      </c>
      <c r="D205" s="17"/>
      <c r="E205" s="14"/>
      <c r="G205" s="17"/>
      <c r="I205" s="17"/>
      <c r="J205" s="14"/>
    </row>
    <row r="206" spans="1:10" ht="10.5" customHeight="1" x14ac:dyDescent="0.2">
      <c r="A206" s="5">
        <f t="shared" si="141"/>
        <v>206</v>
      </c>
      <c r="B206" s="14" t="s">
        <v>67</v>
      </c>
      <c r="D206" s="56">
        <f>SUM(D119,D127,D158,D187,D190,D204)</f>
        <v>7475430954.5061522</v>
      </c>
      <c r="E206" s="56">
        <f>SUM(E119,E127,E158,E187,E190,E204)</f>
        <v>-684513444.45307696</v>
      </c>
      <c r="F206" s="14">
        <f>D206+E206</f>
        <v>6790917510.0530748</v>
      </c>
      <c r="G206" s="17">
        <f>H206-F206</f>
        <v>699765371.44267178</v>
      </c>
      <c r="H206" s="56">
        <f>SUM(H119,H127,H158,H187,H190,H204)</f>
        <v>7490682881.4957466</v>
      </c>
      <c r="I206" s="56">
        <f>SUM(I119,I127,I158,I187,I190,I204)</f>
        <v>213863280.99559787</v>
      </c>
      <c r="J206" s="14">
        <f>SUM(H206:I206)</f>
        <v>7704546162.4913445</v>
      </c>
    </row>
    <row r="207" spans="1:10" ht="10.5" customHeight="1" x14ac:dyDescent="0.2">
      <c r="A207" s="5">
        <f t="shared" si="141"/>
        <v>207</v>
      </c>
      <c r="B207" s="13" t="s">
        <v>168</v>
      </c>
      <c r="D207" s="17"/>
      <c r="E207" s="14"/>
      <c r="J207" s="14"/>
    </row>
    <row r="208" spans="1:10" ht="10.5" customHeight="1" x14ac:dyDescent="0.2">
      <c r="A208" s="5">
        <f t="shared" si="141"/>
        <v>208</v>
      </c>
      <c r="D208" s="17"/>
      <c r="E208" s="14">
        <f>E206-E207</f>
        <v>-684513444.45307696</v>
      </c>
      <c r="J208" s="14"/>
    </row>
    <row r="209" spans="1:10" ht="10.5" customHeight="1" x14ac:dyDescent="0.2">
      <c r="A209" s="5">
        <f t="shared" si="141"/>
        <v>209</v>
      </c>
      <c r="B209" s="14" t="s">
        <v>62</v>
      </c>
      <c r="D209" s="17"/>
      <c r="E209" s="14"/>
      <c r="J209" s="14"/>
    </row>
    <row r="210" spans="1:10" ht="10.5" customHeight="1" x14ac:dyDescent="0.2">
      <c r="A210" s="5">
        <f t="shared" si="141"/>
        <v>210</v>
      </c>
      <c r="B210" s="14" t="s">
        <v>117</v>
      </c>
      <c r="D210" s="58">
        <v>726961728.59692311</v>
      </c>
      <c r="E210" s="17">
        <f>(-306959529.45+-230311628.39)</f>
        <v>-537271157.83999991</v>
      </c>
      <c r="F210" s="14">
        <f>D210+E210</f>
        <v>189690570.7569232</v>
      </c>
      <c r="G210" s="17">
        <f>H210-F210</f>
        <v>9239168.0193226933</v>
      </c>
      <c r="H210" s="14">
        <v>198929738.77624589</v>
      </c>
      <c r="I210" s="17">
        <v>83036.039999999994</v>
      </c>
      <c r="J210" s="14">
        <f>SUM(H210:I210)</f>
        <v>199012774.81624588</v>
      </c>
    </row>
    <row r="211" spans="1:10" ht="10.5" customHeight="1" x14ac:dyDescent="0.2">
      <c r="A211" s="5">
        <f t="shared" si="141"/>
        <v>211</v>
      </c>
      <c r="B211" s="14" t="s">
        <v>118</v>
      </c>
      <c r="D211" s="58">
        <v>533822181.46846157</v>
      </c>
      <c r="E211" s="17">
        <v>0</v>
      </c>
      <c r="F211" s="14">
        <f>D211+E211</f>
        <v>533822181.46846157</v>
      </c>
      <c r="G211" s="17">
        <f t="shared" ref="G211:G213" si="145">H211-F211</f>
        <v>21794965.187393367</v>
      </c>
      <c r="H211" s="14">
        <v>555617146.65585494</v>
      </c>
      <c r="I211" s="17">
        <v>302364.64</v>
      </c>
      <c r="J211" s="14">
        <f>SUM(H211:I211)</f>
        <v>555919511.29585493</v>
      </c>
    </row>
    <row r="212" spans="1:10" ht="10.5" customHeight="1" x14ac:dyDescent="0.2">
      <c r="A212" s="5">
        <f t="shared" si="141"/>
        <v>212</v>
      </c>
      <c r="B212" s="14" t="s">
        <v>119</v>
      </c>
      <c r="D212" s="58">
        <v>83547966.140000001</v>
      </c>
      <c r="E212" s="17">
        <v>0</v>
      </c>
      <c r="F212" s="14">
        <f>D212+E212</f>
        <v>83547966.140000001</v>
      </c>
      <c r="G212" s="17">
        <f t="shared" si="145"/>
        <v>1858871.5813692361</v>
      </c>
      <c r="H212" s="14">
        <f>152658153.34*(D212/($D$212+$D$213))</f>
        <v>85406837.721369237</v>
      </c>
      <c r="I212" s="14">
        <f>45386.05*(D212/($D$212+$D$213))</f>
        <v>25391.889803165035</v>
      </c>
      <c r="J212" s="14">
        <f>SUM(H212:I212)</f>
        <v>85432229.611172408</v>
      </c>
    </row>
    <row r="213" spans="1:10" ht="10.5" customHeight="1" x14ac:dyDescent="0.2">
      <c r="A213" s="5">
        <f t="shared" si="141"/>
        <v>213</v>
      </c>
      <c r="B213" s="14" t="s">
        <v>120</v>
      </c>
      <c r="D213" s="58">
        <f>149335563.363846-D212</f>
        <v>65787597.223846003</v>
      </c>
      <c r="E213" s="17">
        <v>0</v>
      </c>
      <c r="F213" s="14">
        <f>D213+E213</f>
        <v>65787597.223846003</v>
      </c>
      <c r="G213" s="17">
        <f t="shared" si="145"/>
        <v>1463718.3947847635</v>
      </c>
      <c r="H213" s="14">
        <f>152658153.34*(D213/($D$212+$D$213))</f>
        <v>67251315.618630767</v>
      </c>
      <c r="I213" s="14">
        <f>45386.05*(D213/($D$212+$D$213))</f>
        <v>19994.160196834968</v>
      </c>
      <c r="J213" s="14">
        <f>SUM(H213:I213)</f>
        <v>67271309.778827608</v>
      </c>
    </row>
    <row r="214" spans="1:10" ht="10.5" customHeight="1" x14ac:dyDescent="0.2">
      <c r="A214" s="5">
        <f t="shared" si="141"/>
        <v>214</v>
      </c>
      <c r="B214" s="14" t="s">
        <v>66</v>
      </c>
      <c r="C214" s="14" t="s">
        <v>121</v>
      </c>
      <c r="D214" s="17">
        <f>SUM(D210:D213)</f>
        <v>1410119473.4292307</v>
      </c>
      <c r="E214" s="17">
        <f>SUM(E210:E213)</f>
        <v>-537271157.83999991</v>
      </c>
      <c r="F214" s="14">
        <f>D214+E214</f>
        <v>872848315.58923078</v>
      </c>
      <c r="G214" s="17">
        <f>H214-F214</f>
        <v>34356723.18287003</v>
      </c>
      <c r="H214" s="14">
        <f>SUM(H210:H213)</f>
        <v>907205038.77210081</v>
      </c>
      <c r="I214" s="14">
        <f>SUM(I210:I213)</f>
        <v>430786.73</v>
      </c>
      <c r="J214" s="14">
        <f>SUM(H214:I214)</f>
        <v>907635825.50210083</v>
      </c>
    </row>
    <row r="215" spans="1:10" ht="10.5" customHeight="1" x14ac:dyDescent="0.2">
      <c r="A215" s="5">
        <f t="shared" si="141"/>
        <v>215</v>
      </c>
      <c r="B215" s="14" t="s">
        <v>66</v>
      </c>
      <c r="C215" s="14" t="s">
        <v>66</v>
      </c>
      <c r="D215" s="17"/>
      <c r="E215" s="17"/>
      <c r="G215" s="17"/>
      <c r="I215" s="57"/>
      <c r="J215" s="14"/>
    </row>
    <row r="216" spans="1:10" ht="10.5" customHeight="1" x14ac:dyDescent="0.2">
      <c r="A216" s="5">
        <f t="shared" si="141"/>
        <v>216</v>
      </c>
      <c r="B216" s="14" t="s">
        <v>63</v>
      </c>
      <c r="D216" s="17"/>
      <c r="E216" s="17"/>
      <c r="G216" s="17"/>
      <c r="I216" s="17"/>
      <c r="J216" s="14"/>
    </row>
    <row r="217" spans="1:10" ht="10.5" customHeight="1" x14ac:dyDescent="0.2">
      <c r="A217" s="5">
        <f t="shared" si="141"/>
        <v>217</v>
      </c>
      <c r="B217" s="14" t="s">
        <v>169</v>
      </c>
      <c r="D217" s="58">
        <v>10639092.751538463</v>
      </c>
      <c r="E217" s="17">
        <v>0</v>
      </c>
      <c r="F217" s="14">
        <f>D217+E217</f>
        <v>10639092.751538463</v>
      </c>
      <c r="G217" s="17">
        <f t="shared" ref="G217:G223" si="146">H217-F217</f>
        <v>469835.52153846249</v>
      </c>
      <c r="H217" s="14">
        <v>11108928.273076925</v>
      </c>
      <c r="I217" s="17">
        <v>10413.469999999999</v>
      </c>
      <c r="J217" s="14">
        <f t="shared" ref="J217:J224" si="147">SUM(H217:I217)</f>
        <v>11119341.743076926</v>
      </c>
    </row>
    <row r="218" spans="1:10" ht="10.5" customHeight="1" x14ac:dyDescent="0.2">
      <c r="A218" s="5">
        <f t="shared" si="141"/>
        <v>218</v>
      </c>
      <c r="B218" s="14" t="s">
        <v>170</v>
      </c>
      <c r="D218" s="58">
        <v>36666064.391538456</v>
      </c>
      <c r="E218" s="17">
        <v>-477173.24153846159</v>
      </c>
      <c r="F218" s="14">
        <f t="shared" ref="F218:F224" si="148">D218+E218</f>
        <v>36188891.149999991</v>
      </c>
      <c r="G218" s="17">
        <f t="shared" si="146"/>
        <v>1960628.4855647981</v>
      </c>
      <c r="H218" s="14">
        <v>38149519.635564789</v>
      </c>
      <c r="I218" s="17">
        <v>8760.25</v>
      </c>
      <c r="J218" s="14">
        <f t="shared" si="147"/>
        <v>38158279.885564789</v>
      </c>
    </row>
    <row r="219" spans="1:10" ht="10.5" customHeight="1" x14ac:dyDescent="0.2">
      <c r="A219" s="5">
        <f t="shared" si="141"/>
        <v>219</v>
      </c>
      <c r="B219" s="14" t="s">
        <v>171</v>
      </c>
      <c r="D219" s="58">
        <v>140097660.20153847</v>
      </c>
      <c r="E219" s="17">
        <v>-6192530.3723076936</v>
      </c>
      <c r="F219" s="14">
        <f t="shared" si="148"/>
        <v>133905129.82923079</v>
      </c>
      <c r="G219" s="17">
        <f t="shared" si="146"/>
        <v>659059.55033147335</v>
      </c>
      <c r="H219" s="14">
        <v>134564189.37956226</v>
      </c>
      <c r="I219" s="17">
        <v>96377.02</v>
      </c>
      <c r="J219" s="14">
        <f t="shared" si="147"/>
        <v>134660566.39956227</v>
      </c>
    </row>
    <row r="220" spans="1:10" ht="10.5" customHeight="1" x14ac:dyDescent="0.2">
      <c r="A220" s="5">
        <f t="shared" si="141"/>
        <v>220</v>
      </c>
      <c r="B220" s="14" t="s">
        <v>172</v>
      </c>
      <c r="D220" s="58">
        <v>82748036.954615369</v>
      </c>
      <c r="E220" s="17">
        <v>0</v>
      </c>
      <c r="F220" s="14">
        <f t="shared" si="148"/>
        <v>82748036.954615369</v>
      </c>
      <c r="G220" s="17">
        <f t="shared" si="146"/>
        <v>2070576.6584624499</v>
      </c>
      <c r="H220" s="14">
        <v>84818613.613077819</v>
      </c>
      <c r="I220" s="17">
        <v>41032.800000000003</v>
      </c>
      <c r="J220" s="14">
        <f t="shared" si="147"/>
        <v>84859646.413077816</v>
      </c>
    </row>
    <row r="221" spans="1:10" ht="10.5" customHeight="1" x14ac:dyDescent="0.2">
      <c r="A221" s="5">
        <f t="shared" si="141"/>
        <v>221</v>
      </c>
      <c r="B221" s="14" t="s">
        <v>173</v>
      </c>
      <c r="D221" s="58">
        <v>82965614.344615385</v>
      </c>
      <c r="E221" s="17">
        <v>0</v>
      </c>
      <c r="F221" s="14">
        <f t="shared" si="148"/>
        <v>82965614.344615385</v>
      </c>
      <c r="G221" s="17">
        <f t="shared" si="146"/>
        <v>2184940.0946450084</v>
      </c>
      <c r="H221" s="14">
        <v>85150554.439260393</v>
      </c>
      <c r="I221" s="17">
        <v>161683.26</v>
      </c>
      <c r="J221" s="14">
        <f t="shared" si="147"/>
        <v>85312237.699260399</v>
      </c>
    </row>
    <row r="222" spans="1:10" ht="10.5" customHeight="1" x14ac:dyDescent="0.2">
      <c r="A222" s="5">
        <f t="shared" si="141"/>
        <v>222</v>
      </c>
      <c r="B222" s="14" t="s">
        <v>174</v>
      </c>
      <c r="D222" s="58">
        <v>90953906.323846161</v>
      </c>
      <c r="E222" s="17">
        <v>0</v>
      </c>
      <c r="F222" s="14">
        <f t="shared" si="148"/>
        <v>90953906.323846161</v>
      </c>
      <c r="G222" s="17">
        <f t="shared" si="146"/>
        <v>160604.87585292757</v>
      </c>
      <c r="H222" s="14">
        <v>91114511.199699089</v>
      </c>
      <c r="I222" s="17">
        <v>72256.649999999994</v>
      </c>
      <c r="J222" s="14">
        <f t="shared" si="147"/>
        <v>91186767.849699095</v>
      </c>
    </row>
    <row r="223" spans="1:10" ht="10.5" customHeight="1" x14ac:dyDescent="0.2">
      <c r="A223" s="5">
        <f t="shared" si="141"/>
        <v>223</v>
      </c>
      <c r="B223" s="14" t="s">
        <v>175</v>
      </c>
      <c r="D223" s="58">
        <v>300144.77769230772</v>
      </c>
      <c r="E223" s="17">
        <v>0</v>
      </c>
      <c r="F223" s="14">
        <f t="shared" si="148"/>
        <v>300144.77769230772</v>
      </c>
      <c r="G223" s="17">
        <f t="shared" si="146"/>
        <v>2800.2253846153617</v>
      </c>
      <c r="H223" s="14">
        <v>302945.00307692308</v>
      </c>
      <c r="I223" s="17">
        <v>15.26</v>
      </c>
      <c r="J223" s="14">
        <f t="shared" si="147"/>
        <v>302960.26307692309</v>
      </c>
    </row>
    <row r="224" spans="1:10" ht="10.5" customHeight="1" x14ac:dyDescent="0.2">
      <c r="A224" s="5">
        <f t="shared" si="141"/>
        <v>224</v>
      </c>
      <c r="B224" s="14" t="s">
        <v>66</v>
      </c>
      <c r="C224" s="14" t="s">
        <v>137</v>
      </c>
      <c r="D224" s="17">
        <f>SUM(D217:D223)</f>
        <v>444370519.74538463</v>
      </c>
      <c r="E224" s="17">
        <f>SUM(E217:E223)</f>
        <v>-6669703.6138461549</v>
      </c>
      <c r="F224" s="14">
        <f t="shared" si="148"/>
        <v>437700816.13153845</v>
      </c>
      <c r="G224" s="17">
        <f>H224-F224</f>
        <v>7508445.4117797613</v>
      </c>
      <c r="H224" s="14">
        <f>SUM(H217:H223)</f>
        <v>445209261.54331821</v>
      </c>
      <c r="I224" s="14">
        <f>SUM(I217:I223)</f>
        <v>390538.71000000008</v>
      </c>
      <c r="J224" s="14">
        <f t="shared" si="147"/>
        <v>445599800.25331819</v>
      </c>
    </row>
    <row r="225" spans="1:10" ht="10.5" customHeight="1" x14ac:dyDescent="0.2">
      <c r="A225" s="5">
        <f t="shared" si="141"/>
        <v>225</v>
      </c>
      <c r="B225" s="14" t="s">
        <v>66</v>
      </c>
      <c r="C225" s="14" t="s">
        <v>66</v>
      </c>
      <c r="D225" s="17"/>
      <c r="E225" s="17"/>
      <c r="G225" s="17"/>
      <c r="I225" s="17"/>
      <c r="J225" s="14"/>
    </row>
    <row r="226" spans="1:10" ht="10.5" customHeight="1" x14ac:dyDescent="0.2">
      <c r="A226" s="5">
        <f t="shared" si="141"/>
        <v>226</v>
      </c>
      <c r="B226" s="14" t="s">
        <v>64</v>
      </c>
      <c r="D226" s="17"/>
      <c r="E226" s="17"/>
      <c r="G226" s="17"/>
      <c r="I226" s="17"/>
      <c r="J226" s="14"/>
    </row>
    <row r="227" spans="1:10" ht="10.5" customHeight="1" x14ac:dyDescent="0.2">
      <c r="A227" s="5">
        <f t="shared" si="141"/>
        <v>227</v>
      </c>
      <c r="B227" s="14" t="s">
        <v>176</v>
      </c>
      <c r="D227" s="58">
        <v>267783.90384615387</v>
      </c>
      <c r="E227" s="17">
        <v>0</v>
      </c>
      <c r="F227" s="14">
        <f t="shared" ref="F227:F240" si="149">D227+E227</f>
        <v>267783.90384615387</v>
      </c>
      <c r="G227" s="17">
        <f>H227-F227</f>
        <v>29090.086153846001</v>
      </c>
      <c r="H227" s="14">
        <v>296873.98999999987</v>
      </c>
      <c r="I227" s="17">
        <v>0</v>
      </c>
      <c r="J227" s="14">
        <f t="shared" ref="J227:J240" si="150">SUM(H227:I227)</f>
        <v>296873.98999999987</v>
      </c>
    </row>
    <row r="228" spans="1:10" ht="10.5" customHeight="1" x14ac:dyDescent="0.2">
      <c r="A228" s="5">
        <f t="shared" si="141"/>
        <v>228</v>
      </c>
      <c r="B228" s="14" t="s">
        <v>177</v>
      </c>
      <c r="D228" s="58">
        <v>17762904.085384615</v>
      </c>
      <c r="E228" s="17">
        <v>0</v>
      </c>
      <c r="F228" s="14">
        <f t="shared" si="149"/>
        <v>17762904.085384615</v>
      </c>
      <c r="G228" s="17">
        <f t="shared" ref="G228:G239" si="151">H228-F228</f>
        <v>1074913.6866945811</v>
      </c>
      <c r="H228" s="14">
        <v>18837817.772079196</v>
      </c>
      <c r="I228" s="17">
        <v>34443.620000000003</v>
      </c>
      <c r="J228" s="14">
        <f t="shared" si="150"/>
        <v>18872261.392079197</v>
      </c>
    </row>
    <row r="229" spans="1:10" ht="10.5" customHeight="1" x14ac:dyDescent="0.2">
      <c r="A229" s="5">
        <f t="shared" si="141"/>
        <v>229</v>
      </c>
      <c r="B229" s="14" t="s">
        <v>178</v>
      </c>
      <c r="D229" s="58">
        <v>77486613.268461555</v>
      </c>
      <c r="E229" s="17">
        <v>0</v>
      </c>
      <c r="F229" s="14">
        <f t="shared" si="149"/>
        <v>77486613.268461555</v>
      </c>
      <c r="G229" s="17">
        <f t="shared" si="151"/>
        <v>2839521.6657389998</v>
      </c>
      <c r="H229" s="14">
        <v>80326134.934200555</v>
      </c>
      <c r="I229" s="17">
        <v>112394.26</v>
      </c>
      <c r="J229" s="14">
        <f t="shared" si="150"/>
        <v>80438529.19420056</v>
      </c>
    </row>
    <row r="230" spans="1:10" ht="10.5" customHeight="1" x14ac:dyDescent="0.2">
      <c r="A230" s="5">
        <f t="shared" si="141"/>
        <v>230</v>
      </c>
      <c r="B230" s="14" t="s">
        <v>179</v>
      </c>
      <c r="D230" s="58">
        <v>0</v>
      </c>
      <c r="E230" s="17">
        <v>0</v>
      </c>
      <c r="F230" s="14">
        <f t="shared" ref="F230" si="152">D230+E230</f>
        <v>0</v>
      </c>
      <c r="G230" s="17">
        <f t="shared" si="151"/>
        <v>0</v>
      </c>
      <c r="H230" s="14">
        <v>0</v>
      </c>
      <c r="I230" s="17">
        <v>0</v>
      </c>
      <c r="J230" s="14">
        <f t="shared" ref="J230" si="153">SUM(H230:I230)</f>
        <v>0</v>
      </c>
    </row>
    <row r="231" spans="1:10" ht="10.5" customHeight="1" x14ac:dyDescent="0.2">
      <c r="A231" s="5">
        <f t="shared" si="141"/>
        <v>231</v>
      </c>
      <c r="B231" s="14" t="s">
        <v>145</v>
      </c>
      <c r="D231" s="58">
        <v>148011934.80230772</v>
      </c>
      <c r="E231" s="17">
        <v>0</v>
      </c>
      <c r="F231" s="14">
        <f t="shared" si="149"/>
        <v>148011934.80230772</v>
      </c>
      <c r="G231" s="17">
        <f t="shared" si="151"/>
        <v>-2556167.3752532601</v>
      </c>
      <c r="H231" s="14">
        <v>145455767.42705446</v>
      </c>
      <c r="I231" s="17">
        <v>130075.8</v>
      </c>
      <c r="J231" s="14">
        <f t="shared" si="150"/>
        <v>145585843.22705448</v>
      </c>
    </row>
    <row r="232" spans="1:10" ht="10.5" customHeight="1" x14ac:dyDescent="0.2">
      <c r="A232" s="5">
        <f t="shared" si="141"/>
        <v>232</v>
      </c>
      <c r="B232" s="14" t="s">
        <v>146</v>
      </c>
      <c r="D232" s="58">
        <v>59160723.305384621</v>
      </c>
      <c r="E232" s="17">
        <v>0</v>
      </c>
      <c r="F232" s="14">
        <f t="shared" si="149"/>
        <v>59160723.305384621</v>
      </c>
      <c r="G232" s="17">
        <f t="shared" si="151"/>
        <v>-1590036.4372544438</v>
      </c>
      <c r="H232" s="14">
        <v>57570686.868130177</v>
      </c>
      <c r="I232" s="17">
        <v>53473.58</v>
      </c>
      <c r="J232" s="14">
        <f t="shared" si="150"/>
        <v>57624160.448130175</v>
      </c>
    </row>
    <row r="233" spans="1:10" ht="10.5" customHeight="1" x14ac:dyDescent="0.2">
      <c r="A233" s="5">
        <f t="shared" si="141"/>
        <v>233</v>
      </c>
      <c r="B233" s="14" t="s">
        <v>147</v>
      </c>
      <c r="D233" s="58">
        <v>20488072.11538462</v>
      </c>
      <c r="E233" s="17">
        <v>0</v>
      </c>
      <c r="F233" s="14">
        <f t="shared" si="149"/>
        <v>20488072.11538462</v>
      </c>
      <c r="G233" s="17">
        <f t="shared" si="151"/>
        <v>422974.50938923657</v>
      </c>
      <c r="H233" s="14">
        <v>20911046.624773856</v>
      </c>
      <c r="I233" s="17">
        <v>44730.3</v>
      </c>
      <c r="J233" s="14">
        <f t="shared" si="150"/>
        <v>20955776.924773857</v>
      </c>
    </row>
    <row r="234" spans="1:10" ht="10.5" customHeight="1" x14ac:dyDescent="0.2">
      <c r="A234" s="5">
        <f t="shared" si="141"/>
        <v>234</v>
      </c>
      <c r="B234" s="14" t="s">
        <v>148</v>
      </c>
      <c r="D234" s="58">
        <v>111132219.52999999</v>
      </c>
      <c r="E234" s="17">
        <v>0</v>
      </c>
      <c r="F234" s="14">
        <f t="shared" si="149"/>
        <v>111132219.52999999</v>
      </c>
      <c r="G234" s="17">
        <f t="shared" si="151"/>
        <v>3840151.3943868279</v>
      </c>
      <c r="H234" s="14">
        <v>114972370.92438681</v>
      </c>
      <c r="I234" s="17">
        <v>274119.37</v>
      </c>
      <c r="J234" s="14">
        <f t="shared" si="150"/>
        <v>115246490.29438682</v>
      </c>
    </row>
    <row r="235" spans="1:10" ht="10.5" customHeight="1" x14ac:dyDescent="0.2">
      <c r="A235" s="5">
        <f t="shared" si="141"/>
        <v>235</v>
      </c>
      <c r="B235" s="14" t="s">
        <v>149</v>
      </c>
      <c r="D235" s="58">
        <v>206219528.44046158</v>
      </c>
      <c r="E235" s="17">
        <v>0</v>
      </c>
      <c r="F235" s="14">
        <f t="shared" si="149"/>
        <v>206219528.44046158</v>
      </c>
      <c r="G235" s="17">
        <f t="shared" si="151"/>
        <v>4071141.4242022932</v>
      </c>
      <c r="H235" s="14">
        <v>210290669.86466387</v>
      </c>
      <c r="I235" s="17">
        <v>221012.13</v>
      </c>
      <c r="J235" s="14">
        <f t="shared" si="150"/>
        <v>210511681.99466386</v>
      </c>
    </row>
    <row r="236" spans="1:10" ht="10.5" customHeight="1" x14ac:dyDescent="0.2">
      <c r="A236" s="5">
        <f t="shared" si="141"/>
        <v>236</v>
      </c>
      <c r="B236" s="14" t="s">
        <v>150</v>
      </c>
      <c r="D236" s="58">
        <v>46190303.632307693</v>
      </c>
      <c r="E236" s="17">
        <v>0</v>
      </c>
      <c r="F236" s="14">
        <f t="shared" si="149"/>
        <v>46190303.632307693</v>
      </c>
      <c r="G236" s="17">
        <f t="shared" si="151"/>
        <v>661155.78601605445</v>
      </c>
      <c r="H236" s="14">
        <v>46851459.418323748</v>
      </c>
      <c r="I236" s="17">
        <v>6368.62</v>
      </c>
      <c r="J236" s="14">
        <f t="shared" si="150"/>
        <v>46857828.038323745</v>
      </c>
    </row>
    <row r="237" spans="1:10" ht="10.5" customHeight="1" x14ac:dyDescent="0.2">
      <c r="A237" s="5">
        <f t="shared" si="141"/>
        <v>237</v>
      </c>
      <c r="B237" s="14" t="s">
        <v>151</v>
      </c>
      <c r="D237" s="58">
        <v>41165566.945384607</v>
      </c>
      <c r="E237" s="17">
        <v>0</v>
      </c>
      <c r="F237" s="14">
        <f t="shared" si="149"/>
        <v>41165566.945384607</v>
      </c>
      <c r="G237" s="17">
        <f t="shared" si="151"/>
        <v>2431548.7958986387</v>
      </c>
      <c r="H237" s="14">
        <v>43597115.741283245</v>
      </c>
      <c r="I237" s="17">
        <v>79464.63</v>
      </c>
      <c r="J237" s="14">
        <f t="shared" si="150"/>
        <v>43676580.371283248</v>
      </c>
    </row>
    <row r="238" spans="1:10" ht="10.5" customHeight="1" x14ac:dyDescent="0.2">
      <c r="A238" s="5">
        <f t="shared" si="141"/>
        <v>238</v>
      </c>
      <c r="B238" s="14" t="s">
        <v>152</v>
      </c>
      <c r="D238" s="58">
        <v>840646.40000000026</v>
      </c>
      <c r="E238" s="17">
        <v>0</v>
      </c>
      <c r="F238" s="14">
        <f t="shared" si="149"/>
        <v>840646.40000000026</v>
      </c>
      <c r="G238" s="17">
        <f t="shared" si="151"/>
        <v>57627.588192567579</v>
      </c>
      <c r="H238" s="14">
        <v>898273.98819256783</v>
      </c>
      <c r="I238" s="17">
        <v>29.88</v>
      </c>
      <c r="J238" s="14">
        <f t="shared" si="150"/>
        <v>898303.86819256784</v>
      </c>
    </row>
    <row r="239" spans="1:10" ht="10.5" customHeight="1" x14ac:dyDescent="0.2">
      <c r="A239" s="5">
        <f t="shared" si="141"/>
        <v>239</v>
      </c>
      <c r="B239" s="14" t="s">
        <v>153</v>
      </c>
      <c r="D239" s="58">
        <v>622296.82846153842</v>
      </c>
      <c r="E239" s="17">
        <v>0</v>
      </c>
      <c r="F239" s="14">
        <f t="shared" si="149"/>
        <v>622296.82846153842</v>
      </c>
      <c r="G239" s="17">
        <f t="shared" si="151"/>
        <v>120727.4716512484</v>
      </c>
      <c r="H239" s="14">
        <v>743024.30011278682</v>
      </c>
      <c r="I239" s="17">
        <v>-15.28</v>
      </c>
      <c r="J239" s="14">
        <f t="shared" si="150"/>
        <v>743009.02011278679</v>
      </c>
    </row>
    <row r="240" spans="1:10" ht="10.5" customHeight="1" x14ac:dyDescent="0.2">
      <c r="A240" s="5">
        <f t="shared" si="141"/>
        <v>240</v>
      </c>
      <c r="B240" s="14" t="s">
        <v>66</v>
      </c>
      <c r="C240" s="14" t="s">
        <v>154</v>
      </c>
      <c r="D240" s="17">
        <f>SUM(D227:D239)</f>
        <v>729348593.25738466</v>
      </c>
      <c r="E240" s="17">
        <f>SUM(E227:E239)</f>
        <v>0</v>
      </c>
      <c r="F240" s="14">
        <f t="shared" si="149"/>
        <v>729348593.25738466</v>
      </c>
      <c r="G240" s="17">
        <f t="shared" ref="G240" si="154">H240-D240</f>
        <v>11402648.595816731</v>
      </c>
      <c r="H240" s="14">
        <f>SUM(H227:H239)</f>
        <v>740751241.85320139</v>
      </c>
      <c r="I240" s="14">
        <f>SUM(I227:I239)</f>
        <v>956096.90999999992</v>
      </c>
      <c r="J240" s="14">
        <f t="shared" si="150"/>
        <v>741707338.76320136</v>
      </c>
    </row>
    <row r="241" spans="1:10" ht="10.5" customHeight="1" x14ac:dyDescent="0.2">
      <c r="A241" s="5">
        <f t="shared" si="141"/>
        <v>241</v>
      </c>
      <c r="B241" s="14" t="s">
        <v>66</v>
      </c>
      <c r="C241" s="14" t="s">
        <v>66</v>
      </c>
      <c r="D241" s="17"/>
      <c r="E241" s="17"/>
      <c r="G241" s="17"/>
      <c r="I241" s="17"/>
      <c r="J241" s="14"/>
    </row>
    <row r="242" spans="1:10" ht="10.5" customHeight="1" x14ac:dyDescent="0.2">
      <c r="A242" s="5">
        <f t="shared" si="141"/>
        <v>242</v>
      </c>
      <c r="B242" s="13" t="str">
        <f>B207</f>
        <v>TABLE 2-ACCUMULATED PROVISION FOR DEPRECIATION</v>
      </c>
      <c r="D242" s="17"/>
      <c r="E242" s="17"/>
      <c r="F242" s="17"/>
      <c r="G242" s="17"/>
      <c r="H242" s="17"/>
      <c r="I242" s="8"/>
      <c r="J242" s="14"/>
    </row>
    <row r="243" spans="1:10" ht="10.5" customHeight="1" x14ac:dyDescent="0.2">
      <c r="A243" s="5">
        <f t="shared" si="141"/>
        <v>243</v>
      </c>
      <c r="B243" s="13"/>
      <c r="D243" s="17"/>
      <c r="E243" s="17"/>
      <c r="F243" s="17"/>
      <c r="G243" s="17"/>
      <c r="H243" s="17"/>
      <c r="I243" s="8"/>
      <c r="J243" s="14"/>
    </row>
    <row r="244" spans="1:10" ht="10.5" customHeight="1" x14ac:dyDescent="0.2">
      <c r="A244" s="5">
        <f t="shared" si="141"/>
        <v>244</v>
      </c>
      <c r="B244" s="14" t="s">
        <v>155</v>
      </c>
      <c r="C244" s="62"/>
      <c r="D244" s="58">
        <v>6225488.0607692301</v>
      </c>
      <c r="E244" s="14">
        <v>0</v>
      </c>
      <c r="F244" s="14">
        <f t="shared" ref="F244" si="155">D244+E244</f>
        <v>6225488.0607692301</v>
      </c>
      <c r="G244" s="17">
        <f>H244-F244</f>
        <v>16332603.413076926</v>
      </c>
      <c r="H244" s="63">
        <v>22558091.473846156</v>
      </c>
      <c r="I244" s="17">
        <v>1482331.78</v>
      </c>
      <c r="J244" s="14">
        <f t="shared" ref="J244" si="156">SUM(H244:I244)</f>
        <v>24040423.253846157</v>
      </c>
    </row>
    <row r="245" spans="1:10" ht="10.5" customHeight="1" x14ac:dyDescent="0.2">
      <c r="A245" s="5">
        <f t="shared" si="141"/>
        <v>245</v>
      </c>
      <c r="C245" s="14" t="s">
        <v>156</v>
      </c>
      <c r="D245" s="56">
        <f>SUM(D244)</f>
        <v>6225488.0607692301</v>
      </c>
      <c r="E245" s="56">
        <f>SUM(E244)</f>
        <v>0</v>
      </c>
      <c r="F245" s="14">
        <f>D245+E245</f>
        <v>6225488.0607692301</v>
      </c>
      <c r="G245" s="17">
        <f>H245-F245</f>
        <v>16332603.413076926</v>
      </c>
      <c r="H245" s="57">
        <f>SUM(H244)</f>
        <v>22558091.473846156</v>
      </c>
      <c r="I245" s="57">
        <f>SUM(I244)</f>
        <v>1482331.78</v>
      </c>
      <c r="J245" s="14">
        <f>SUM(H245:I245)</f>
        <v>24040423.253846157</v>
      </c>
    </row>
    <row r="246" spans="1:10" ht="10.5" customHeight="1" x14ac:dyDescent="0.2">
      <c r="A246" s="5">
        <f t="shared" si="141"/>
        <v>246</v>
      </c>
      <c r="B246" s="14" t="str">
        <f>" "</f>
        <v xml:space="preserve"> </v>
      </c>
      <c r="D246" s="17"/>
      <c r="E246" s="17"/>
      <c r="G246" s="17"/>
      <c r="I246" s="57"/>
      <c r="J246" s="14"/>
    </row>
    <row r="247" spans="1:10" ht="10.5" customHeight="1" x14ac:dyDescent="0.2">
      <c r="A247" s="5">
        <f t="shared" si="141"/>
        <v>247</v>
      </c>
      <c r="B247" s="14" t="s">
        <v>65</v>
      </c>
      <c r="D247" s="17"/>
      <c r="E247" s="17"/>
      <c r="G247" s="17"/>
      <c r="I247" s="57"/>
      <c r="J247" s="14"/>
    </row>
    <row r="248" spans="1:10" ht="10.5" customHeight="1" x14ac:dyDescent="0.2">
      <c r="A248" s="5">
        <f t="shared" si="141"/>
        <v>248</v>
      </c>
      <c r="B248" s="14" t="s">
        <v>157</v>
      </c>
      <c r="D248" s="58">
        <v>0</v>
      </c>
      <c r="E248" s="17">
        <v>0</v>
      </c>
      <c r="F248" s="14">
        <f t="shared" ref="F248:F258" si="157">D248+E248</f>
        <v>0</v>
      </c>
      <c r="G248" s="17">
        <f>H248-F248</f>
        <v>0</v>
      </c>
      <c r="H248" s="14">
        <v>0</v>
      </c>
      <c r="I248" s="17">
        <v>0</v>
      </c>
      <c r="J248" s="14">
        <f t="shared" ref="J248:J258" si="158">SUM(H248:I248)</f>
        <v>0</v>
      </c>
    </row>
    <row r="249" spans="1:10" ht="10.5" customHeight="1" x14ac:dyDescent="0.2">
      <c r="A249" s="5">
        <f t="shared" si="141"/>
        <v>249</v>
      </c>
      <c r="B249" s="14" t="s">
        <v>158</v>
      </c>
      <c r="D249" s="58">
        <v>37797480.202307686</v>
      </c>
      <c r="E249" s="17">
        <v>0</v>
      </c>
      <c r="F249" s="14">
        <f t="shared" si="157"/>
        <v>37797480.202307686</v>
      </c>
      <c r="G249" s="17">
        <f t="shared" ref="G249:G258" si="159">H249-F249</f>
        <v>551335.7947396338</v>
      </c>
      <c r="H249" s="14">
        <v>38348815.99704732</v>
      </c>
      <c r="I249" s="17">
        <v>89556.54</v>
      </c>
      <c r="J249" s="14">
        <f t="shared" si="158"/>
        <v>38438372.537047319</v>
      </c>
    </row>
    <row r="250" spans="1:10" ht="10.5" customHeight="1" x14ac:dyDescent="0.2">
      <c r="A250" s="5">
        <f t="shared" si="141"/>
        <v>250</v>
      </c>
      <c r="B250" s="14" t="s">
        <v>159</v>
      </c>
      <c r="D250" s="58">
        <v>19015347.459230769</v>
      </c>
      <c r="E250" s="17">
        <v>0</v>
      </c>
      <c r="F250" s="14">
        <f t="shared" si="157"/>
        <v>19015347.459230769</v>
      </c>
      <c r="G250" s="17">
        <f t="shared" si="159"/>
        <v>793463.0838461481</v>
      </c>
      <c r="H250" s="14">
        <v>19808810.543076918</v>
      </c>
      <c r="I250" s="17">
        <v>31999.46</v>
      </c>
      <c r="J250" s="14">
        <f t="shared" si="158"/>
        <v>19840810.003076918</v>
      </c>
    </row>
    <row r="251" spans="1:10" ht="10.5" customHeight="1" x14ac:dyDescent="0.2">
      <c r="A251" s="5">
        <f t="shared" si="141"/>
        <v>251</v>
      </c>
      <c r="B251" s="14" t="s">
        <v>160</v>
      </c>
      <c r="D251" s="58">
        <v>25754749.452307697</v>
      </c>
      <c r="E251" s="17">
        <v>0</v>
      </c>
      <c r="F251" s="14">
        <f t="shared" si="157"/>
        <v>25754749.452307697</v>
      </c>
      <c r="G251" s="17">
        <f t="shared" si="159"/>
        <v>-4220434.0930982977</v>
      </c>
      <c r="H251" s="14">
        <v>21534315.3592094</v>
      </c>
      <c r="I251" s="17">
        <v>0</v>
      </c>
      <c r="J251" s="14">
        <f t="shared" si="158"/>
        <v>21534315.3592094</v>
      </c>
    </row>
    <row r="252" spans="1:10" ht="10.5" customHeight="1" x14ac:dyDescent="0.2">
      <c r="A252" s="5">
        <f t="shared" si="141"/>
        <v>252</v>
      </c>
      <c r="B252" s="14" t="s">
        <v>161</v>
      </c>
      <c r="D252" s="58">
        <v>1686253.3684615383</v>
      </c>
      <c r="E252" s="17">
        <v>0</v>
      </c>
      <c r="F252" s="14">
        <f t="shared" si="157"/>
        <v>1686253.3684615383</v>
      </c>
      <c r="G252" s="17">
        <f t="shared" si="159"/>
        <v>349624.47923076898</v>
      </c>
      <c r="H252" s="14">
        <v>2035877.8476923073</v>
      </c>
      <c r="I252" s="17">
        <v>9188.08</v>
      </c>
      <c r="J252" s="14">
        <f t="shared" si="158"/>
        <v>2045065.9276923074</v>
      </c>
    </row>
    <row r="253" spans="1:10" ht="10.5" customHeight="1" x14ac:dyDescent="0.2">
      <c r="A253" s="5">
        <f t="shared" si="141"/>
        <v>253</v>
      </c>
      <c r="B253" s="14" t="s">
        <v>162</v>
      </c>
      <c r="D253" s="58">
        <v>5547071.3938461542</v>
      </c>
      <c r="E253" s="17">
        <v>0</v>
      </c>
      <c r="F253" s="14">
        <f t="shared" si="157"/>
        <v>5547071.3938461542</v>
      </c>
      <c r="G253" s="17">
        <f t="shared" si="159"/>
        <v>539339.87692307588</v>
      </c>
      <c r="H253" s="14">
        <v>6086411.2707692301</v>
      </c>
      <c r="I253" s="17">
        <v>7176.25</v>
      </c>
      <c r="J253" s="14">
        <f t="shared" si="158"/>
        <v>6093587.5207692301</v>
      </c>
    </row>
    <row r="254" spans="1:10" ht="10.5" customHeight="1" x14ac:dyDescent="0.2">
      <c r="A254" s="5">
        <f t="shared" si="141"/>
        <v>254</v>
      </c>
      <c r="B254" s="14" t="s">
        <v>163</v>
      </c>
      <c r="D254" s="58">
        <v>7372650.2515384601</v>
      </c>
      <c r="E254" s="17">
        <v>0</v>
      </c>
      <c r="F254" s="14">
        <f t="shared" si="157"/>
        <v>7372650.2515384601</v>
      </c>
      <c r="G254" s="17">
        <f t="shared" si="159"/>
        <v>478110.94230769482</v>
      </c>
      <c r="H254" s="14">
        <v>7850761.193846155</v>
      </c>
      <c r="I254" s="17">
        <v>5720.55</v>
      </c>
      <c r="J254" s="14">
        <f t="shared" si="158"/>
        <v>7856481.7438461548</v>
      </c>
    </row>
    <row r="255" spans="1:10" ht="10.5" customHeight="1" x14ac:dyDescent="0.2">
      <c r="A255" s="5">
        <f t="shared" si="141"/>
        <v>255</v>
      </c>
      <c r="B255" s="14" t="s">
        <v>164</v>
      </c>
      <c r="D255" s="58">
        <v>6442822.2661538469</v>
      </c>
      <c r="E255" s="17">
        <v>0</v>
      </c>
      <c r="F255" s="14">
        <f t="shared" si="157"/>
        <v>6442822.2661538469</v>
      </c>
      <c r="G255" s="17">
        <f t="shared" si="159"/>
        <v>968669.99011373147</v>
      </c>
      <c r="H255" s="14">
        <v>7411492.2562675783</v>
      </c>
      <c r="I255" s="17">
        <v>0</v>
      </c>
      <c r="J255" s="14">
        <f t="shared" si="158"/>
        <v>7411492.2562675783</v>
      </c>
    </row>
    <row r="256" spans="1:10" ht="10.5" customHeight="1" x14ac:dyDescent="0.2">
      <c r="A256" s="5">
        <f t="shared" si="141"/>
        <v>256</v>
      </c>
      <c r="B256" s="14" t="s">
        <v>165</v>
      </c>
      <c r="D256" s="58">
        <v>36482870.43230769</v>
      </c>
      <c r="E256" s="17">
        <v>0</v>
      </c>
      <c r="F256" s="14">
        <f t="shared" si="157"/>
        <v>36482870.43230769</v>
      </c>
      <c r="G256" s="17">
        <f t="shared" si="159"/>
        <v>2011770.2507692352</v>
      </c>
      <c r="H256" s="14">
        <v>38494640.683076926</v>
      </c>
      <c r="I256" s="17">
        <v>66915.710000000006</v>
      </c>
      <c r="J256" s="14">
        <f t="shared" si="158"/>
        <v>38561556.393076926</v>
      </c>
    </row>
    <row r="257" spans="1:10" ht="10.5" customHeight="1" x14ac:dyDescent="0.2">
      <c r="A257" s="5">
        <f t="shared" si="141"/>
        <v>257</v>
      </c>
      <c r="B257" s="14" t="s">
        <v>166</v>
      </c>
      <c r="D257" s="58">
        <v>4657607.3007692313</v>
      </c>
      <c r="E257" s="17">
        <v>0</v>
      </c>
      <c r="F257" s="14">
        <f t="shared" si="157"/>
        <v>4657607.3007692313</v>
      </c>
      <c r="G257" s="17">
        <f t="shared" si="159"/>
        <v>149930.16923076846</v>
      </c>
      <c r="H257" s="14">
        <v>4807537.47</v>
      </c>
      <c r="I257" s="17">
        <v>14834.04</v>
      </c>
      <c r="J257" s="14">
        <f t="shared" si="158"/>
        <v>4822371.51</v>
      </c>
    </row>
    <row r="258" spans="1:10" ht="10.5" customHeight="1" x14ac:dyDescent="0.2">
      <c r="A258" s="5">
        <f t="shared" si="141"/>
        <v>258</v>
      </c>
      <c r="B258" s="14" t="s">
        <v>66</v>
      </c>
      <c r="C258" s="14" t="s">
        <v>167</v>
      </c>
      <c r="D258" s="17">
        <v>144756852.12692305</v>
      </c>
      <c r="E258" s="17">
        <f>SUM(E248:E257)</f>
        <v>0</v>
      </c>
      <c r="F258" s="14">
        <f t="shared" si="157"/>
        <v>144756852.12692305</v>
      </c>
      <c r="G258" s="17">
        <f t="shared" si="159"/>
        <v>1621810.4940627813</v>
      </c>
      <c r="H258" s="14">
        <f>SUM(H248:H257)</f>
        <v>146378662.62098584</v>
      </c>
      <c r="I258" s="14">
        <f>SUM(I248:I257)</f>
        <v>225390.63000000003</v>
      </c>
      <c r="J258" s="14">
        <f t="shared" si="158"/>
        <v>146604053.25098583</v>
      </c>
    </row>
    <row r="259" spans="1:10" ht="10.5" customHeight="1" x14ac:dyDescent="0.2">
      <c r="A259" s="5">
        <f t="shared" si="141"/>
        <v>259</v>
      </c>
      <c r="D259" s="17"/>
      <c r="E259" s="17"/>
      <c r="G259" s="17"/>
      <c r="I259" s="17"/>
      <c r="J259" s="14"/>
    </row>
    <row r="260" spans="1:10" ht="10.5" customHeight="1" x14ac:dyDescent="0.2">
      <c r="A260" s="5">
        <f t="shared" si="141"/>
        <v>260</v>
      </c>
      <c r="B260" s="14" t="s">
        <v>180</v>
      </c>
      <c r="D260" s="64">
        <v>3001093.9400000009</v>
      </c>
      <c r="E260" s="17">
        <v>0</v>
      </c>
      <c r="F260" s="14">
        <f>D260+E260</f>
        <v>3001093.9400000009</v>
      </c>
      <c r="G260" s="17">
        <f>H260-F260</f>
        <v>-296299.3200000003</v>
      </c>
      <c r="H260" s="14">
        <v>2704794.6200000006</v>
      </c>
      <c r="I260" s="17">
        <v>0</v>
      </c>
      <c r="J260" s="14">
        <f>SUM(H260:I260)</f>
        <v>2704794.6200000006</v>
      </c>
    </row>
    <row r="261" spans="1:10" ht="10.5" customHeight="1" x14ac:dyDescent="0.2">
      <c r="A261" s="5">
        <f t="shared" si="141"/>
        <v>261</v>
      </c>
      <c r="B261" s="14" t="s">
        <v>66</v>
      </c>
      <c r="C261" s="14" t="s">
        <v>66</v>
      </c>
      <c r="D261" s="17"/>
      <c r="E261" s="17"/>
      <c r="G261" s="17"/>
      <c r="I261" s="17"/>
      <c r="J261" s="14"/>
    </row>
    <row r="262" spans="1:10" ht="10.5" customHeight="1" x14ac:dyDescent="0.2">
      <c r="A262" s="5">
        <f t="shared" si="141"/>
        <v>262</v>
      </c>
      <c r="B262" s="14" t="s">
        <v>66</v>
      </c>
      <c r="C262" s="14" t="s">
        <v>181</v>
      </c>
      <c r="D262" s="17">
        <f>SUM(D214,D224,D240,D245,D258,D260)</f>
        <v>2737822020.5596924</v>
      </c>
      <c r="E262" s="17">
        <f>SUM(E214,E224,E240,E245,E258,E260)</f>
        <v>-543940861.4538461</v>
      </c>
      <c r="F262" s="17">
        <f>SUM(F214,F224,F240,F245,F258,F260)</f>
        <v>2193881159.1058459</v>
      </c>
      <c r="G262" s="17">
        <f>H262-F262</f>
        <v>70925931.777606487</v>
      </c>
      <c r="H262" s="17">
        <f>SUM(H214,H224,H240,H245,H258,H260)</f>
        <v>2264807090.8834524</v>
      </c>
      <c r="I262" s="17">
        <f>SUM(I214,I224,I240,I245,I258,I260)</f>
        <v>3485144.76</v>
      </c>
      <c r="J262" s="14">
        <f>SUM(H262:I262)</f>
        <v>2268292235.6434526</v>
      </c>
    </row>
    <row r="263" spans="1:10" ht="10.5" customHeight="1" x14ac:dyDescent="0.2">
      <c r="A263" s="5">
        <f t="shared" si="141"/>
        <v>263</v>
      </c>
      <c r="B263" s="14" t="s">
        <v>66</v>
      </c>
      <c r="C263" s="14" t="s">
        <v>66</v>
      </c>
      <c r="D263" s="17"/>
      <c r="E263" s="17"/>
      <c r="G263" s="17"/>
      <c r="I263" s="57"/>
      <c r="J263" s="14"/>
    </row>
    <row r="264" spans="1:10" ht="10.5" customHeight="1" x14ac:dyDescent="0.2">
      <c r="A264" s="5">
        <f t="shared" ref="A264:A327" si="160">A263+1</f>
        <v>264</v>
      </c>
      <c r="B264" s="14" t="s">
        <v>182</v>
      </c>
      <c r="D264" s="17"/>
      <c r="E264" s="17"/>
      <c r="G264" s="17"/>
      <c r="I264" s="17"/>
      <c r="J264" s="14"/>
    </row>
    <row r="265" spans="1:10" ht="10.5" customHeight="1" x14ac:dyDescent="0.2">
      <c r="A265" s="5">
        <f t="shared" si="160"/>
        <v>265</v>
      </c>
      <c r="B265" s="14" t="s">
        <v>66</v>
      </c>
      <c r="C265" s="17" t="s">
        <v>183</v>
      </c>
      <c r="D265" s="58">
        <v>20196692.836153846</v>
      </c>
      <c r="E265" s="17">
        <v>0</v>
      </c>
      <c r="F265" s="14">
        <f>D265+E265</f>
        <v>20196692.836153846</v>
      </c>
      <c r="G265" s="17">
        <f>H265-F265</f>
        <v>1597926.4192307703</v>
      </c>
      <c r="H265" s="14">
        <v>21794619.255384617</v>
      </c>
      <c r="I265" s="57">
        <v>27523.03</v>
      </c>
      <c r="J265" s="14">
        <f>SUM(H265:I265)</f>
        <v>21822142.285384618</v>
      </c>
    </row>
    <row r="266" spans="1:10" ht="10.5" customHeight="1" x14ac:dyDescent="0.2">
      <c r="A266" s="5">
        <f t="shared" si="160"/>
        <v>266</v>
      </c>
      <c r="B266" s="14" t="s">
        <v>66</v>
      </c>
      <c r="C266" s="17" t="s">
        <v>184</v>
      </c>
      <c r="D266" s="58">
        <v>27697045.076153841</v>
      </c>
      <c r="E266" s="17">
        <v>0</v>
      </c>
      <c r="F266" s="14">
        <f>D266+E266</f>
        <v>27697045.076153841</v>
      </c>
      <c r="G266" s="17">
        <f>H266-F266</f>
        <v>5021808.9330769293</v>
      </c>
      <c r="H266" s="14">
        <v>32718854.00923077</v>
      </c>
      <c r="I266" s="17">
        <v>137075.76</v>
      </c>
      <c r="J266" s="14">
        <f>SUM(H266:I266)</f>
        <v>32855929.769230772</v>
      </c>
    </row>
    <row r="267" spans="1:10" ht="10.5" customHeight="1" x14ac:dyDescent="0.2">
      <c r="A267" s="5">
        <f t="shared" si="160"/>
        <v>267</v>
      </c>
      <c r="B267" s="14" t="s">
        <v>66</v>
      </c>
      <c r="C267" s="14" t="s">
        <v>66</v>
      </c>
      <c r="D267" s="17"/>
      <c r="E267" s="17"/>
      <c r="G267" s="17"/>
      <c r="I267" s="17"/>
      <c r="J267" s="14"/>
    </row>
    <row r="268" spans="1:10" ht="10.5" customHeight="1" x14ac:dyDescent="0.2">
      <c r="A268" s="5">
        <f t="shared" si="160"/>
        <v>268</v>
      </c>
      <c r="B268" s="14" t="s">
        <v>66</v>
      </c>
      <c r="C268" s="14" t="s">
        <v>185</v>
      </c>
      <c r="D268" s="17">
        <f>SUM(D265:D266)</f>
        <v>47893737.912307687</v>
      </c>
      <c r="E268" s="17">
        <f>SUM(E265:E266)</f>
        <v>0</v>
      </c>
      <c r="F268" s="14">
        <f>SUM(F265:F266)</f>
        <v>47893737.912307687</v>
      </c>
      <c r="G268" s="17">
        <f>H268-F268</f>
        <v>6619735.3523076996</v>
      </c>
      <c r="H268" s="14">
        <f>SUM(H265:H266)</f>
        <v>54513473.264615387</v>
      </c>
      <c r="I268" s="14">
        <f>SUM(I265:I266)</f>
        <v>164598.79</v>
      </c>
      <c r="J268" s="14">
        <f>SUM(H268:I268)</f>
        <v>54678072.054615386</v>
      </c>
    </row>
    <row r="269" spans="1:10" ht="10.5" customHeight="1" x14ac:dyDescent="0.2">
      <c r="A269" s="5">
        <f t="shared" si="160"/>
        <v>269</v>
      </c>
      <c r="B269" s="14" t="s">
        <v>66</v>
      </c>
      <c r="C269" s="14" t="s">
        <v>66</v>
      </c>
      <c r="D269" s="17"/>
      <c r="E269" s="17"/>
      <c r="G269" s="17"/>
      <c r="I269" s="57"/>
      <c r="J269" s="14"/>
    </row>
    <row r="270" spans="1:10" ht="10.5" customHeight="1" x14ac:dyDescent="0.2">
      <c r="A270" s="5">
        <f t="shared" si="160"/>
        <v>270</v>
      </c>
      <c r="B270" s="14" t="s">
        <v>66</v>
      </c>
      <c r="C270" s="14" t="s">
        <v>186</v>
      </c>
      <c r="D270" s="17"/>
      <c r="E270" s="17"/>
      <c r="G270" s="17"/>
      <c r="I270" s="17"/>
      <c r="J270" s="14"/>
    </row>
    <row r="271" spans="1:10" ht="10.5" customHeight="1" x14ac:dyDescent="0.2">
      <c r="A271" s="5">
        <f t="shared" si="160"/>
        <v>271</v>
      </c>
      <c r="B271" s="14" t="s">
        <v>66</v>
      </c>
      <c r="C271" s="14" t="s">
        <v>187</v>
      </c>
      <c r="D271" s="17">
        <f>SUM(D262,D268)</f>
        <v>2785715758.4720001</v>
      </c>
      <c r="E271" s="17">
        <f>SUM(E262,E268)</f>
        <v>-543940861.4538461</v>
      </c>
      <c r="F271" s="14">
        <f>SUM(F262,F268)</f>
        <v>2241774897.0181537</v>
      </c>
      <c r="G271" s="17">
        <f>H271-F271</f>
        <v>77545667.129914284</v>
      </c>
      <c r="H271" s="14">
        <f>SUM(H262,H268)</f>
        <v>2319320564.148068</v>
      </c>
      <c r="I271" s="14">
        <f>SUM(I262,I268)</f>
        <v>3649743.55</v>
      </c>
      <c r="J271" s="14">
        <f>SUM(H271:I271)</f>
        <v>2322970307.6980681</v>
      </c>
    </row>
    <row r="272" spans="1:10" ht="10.5" customHeight="1" x14ac:dyDescent="0.2">
      <c r="A272" s="5">
        <f t="shared" si="160"/>
        <v>272</v>
      </c>
      <c r="D272" s="17"/>
      <c r="E272" s="17"/>
      <c r="G272" s="17"/>
      <c r="J272" s="14"/>
    </row>
    <row r="273" spans="1:10" ht="10.5" customHeight="1" x14ac:dyDescent="0.2">
      <c r="A273" s="5">
        <f t="shared" si="160"/>
        <v>273</v>
      </c>
      <c r="B273" s="13" t="s">
        <v>188</v>
      </c>
      <c r="D273" s="17"/>
      <c r="E273" s="14"/>
      <c r="J273" s="14">
        <f>SUM(H273:I273)</f>
        <v>0</v>
      </c>
    </row>
    <row r="274" spans="1:10" ht="10.5" customHeight="1" x14ac:dyDescent="0.2">
      <c r="A274" s="5">
        <f t="shared" si="160"/>
        <v>274</v>
      </c>
      <c r="B274" s="14" t="str">
        <f>" "</f>
        <v xml:space="preserve"> </v>
      </c>
      <c r="D274" s="17"/>
      <c r="E274" s="14"/>
      <c r="J274" s="14">
        <f>SUM(H274:I274)</f>
        <v>0</v>
      </c>
    </row>
    <row r="275" spans="1:10" ht="10.5" customHeight="1" x14ac:dyDescent="0.2">
      <c r="A275" s="5">
        <f t="shared" si="160"/>
        <v>275</v>
      </c>
      <c r="B275" s="14" t="s">
        <v>189</v>
      </c>
      <c r="D275" s="17">
        <f>D206-D271</f>
        <v>4689715196.034152</v>
      </c>
      <c r="E275" s="17">
        <f>E206-E271</f>
        <v>-140572582.99923086</v>
      </c>
      <c r="F275" s="14">
        <f>F206-F271</f>
        <v>4549142613.0349216</v>
      </c>
      <c r="G275" s="17">
        <f>H275-F275</f>
        <v>622219704.31275749</v>
      </c>
      <c r="H275" s="14">
        <f>H206-H271</f>
        <v>5171362317.3476791</v>
      </c>
      <c r="I275" s="14">
        <f>I206-I271</f>
        <v>210213537.44559786</v>
      </c>
      <c r="J275" s="14">
        <f>J206-J271</f>
        <v>5381575854.7932758</v>
      </c>
    </row>
    <row r="276" spans="1:10" ht="10.5" customHeight="1" x14ac:dyDescent="0.2">
      <c r="A276" s="5">
        <f t="shared" si="160"/>
        <v>276</v>
      </c>
      <c r="B276" s="14" t="s">
        <v>190</v>
      </c>
      <c r="D276" s="17"/>
      <c r="E276" s="14"/>
      <c r="J276" s="14">
        <f>SUM(H276:I276)</f>
        <v>0</v>
      </c>
    </row>
    <row r="277" spans="1:10" ht="10.5" customHeight="1" x14ac:dyDescent="0.2">
      <c r="A277" s="5">
        <f t="shared" si="160"/>
        <v>277</v>
      </c>
      <c r="B277" s="14" t="s">
        <v>191</v>
      </c>
      <c r="D277" s="17"/>
      <c r="E277" s="14"/>
      <c r="I277" s="17"/>
      <c r="J277" s="17"/>
    </row>
    <row r="278" spans="1:10" ht="10.5" customHeight="1" x14ac:dyDescent="0.2">
      <c r="A278" s="5">
        <f t="shared" si="160"/>
        <v>278</v>
      </c>
      <c r="B278" s="14" t="s">
        <v>66</v>
      </c>
      <c r="C278" s="14" t="s">
        <v>192</v>
      </c>
      <c r="D278" s="58">
        <v>0</v>
      </c>
      <c r="E278" s="14">
        <v>0</v>
      </c>
      <c r="F278" s="14">
        <f>D278+E278</f>
        <v>0</v>
      </c>
      <c r="G278" s="17">
        <v>0</v>
      </c>
      <c r="H278" s="14">
        <f>F278+G278</f>
        <v>0</v>
      </c>
      <c r="I278" s="17">
        <v>0</v>
      </c>
      <c r="J278" s="17">
        <f>SUM(H278:I278)</f>
        <v>0</v>
      </c>
    </row>
    <row r="279" spans="1:10" ht="10.5" customHeight="1" x14ac:dyDescent="0.2">
      <c r="A279" s="5">
        <f t="shared" si="160"/>
        <v>279</v>
      </c>
      <c r="B279" s="14" t="s">
        <v>66</v>
      </c>
      <c r="C279" s="14" t="s">
        <v>193</v>
      </c>
      <c r="D279" s="58">
        <v>49466594.867692299</v>
      </c>
      <c r="E279" s="14">
        <v>-10000000</v>
      </c>
      <c r="F279" s="14">
        <f>D279+E279</f>
        <v>39466594.867692299</v>
      </c>
      <c r="G279" s="17">
        <v>-17450604.153846152</v>
      </c>
      <c r="H279" s="14">
        <f>F279+G279</f>
        <v>22015990.713846147</v>
      </c>
      <c r="I279" s="17">
        <v>0</v>
      </c>
      <c r="J279" s="17">
        <f>SUM(H279:I279)</f>
        <v>22015990.713846147</v>
      </c>
    </row>
    <row r="280" spans="1:10" ht="10.5" customHeight="1" x14ac:dyDescent="0.2">
      <c r="A280" s="5">
        <f t="shared" si="160"/>
        <v>280</v>
      </c>
      <c r="B280" s="14" t="s">
        <v>66</v>
      </c>
      <c r="C280" s="14" t="s">
        <v>194</v>
      </c>
      <c r="D280" s="17">
        <f>SUM(D278:D279)</f>
        <v>49466594.867692299</v>
      </c>
      <c r="E280" s="14">
        <f>SUM(E278:E279)</f>
        <v>-10000000</v>
      </c>
      <c r="F280" s="14">
        <f>D280+E280</f>
        <v>39466594.867692299</v>
      </c>
      <c r="G280" s="17">
        <f>H280-F280</f>
        <v>-17450604.153846152</v>
      </c>
      <c r="H280" s="14">
        <f>SUM(H278:H279)</f>
        <v>22015990.713846147</v>
      </c>
      <c r="I280" s="17">
        <v>0</v>
      </c>
      <c r="J280" s="17">
        <f>SUM(H280:I280)</f>
        <v>22015990.713846147</v>
      </c>
    </row>
    <row r="281" spans="1:10" ht="10.5" customHeight="1" x14ac:dyDescent="0.2">
      <c r="A281" s="5">
        <f t="shared" si="160"/>
        <v>281</v>
      </c>
      <c r="B281" s="14" t="s">
        <v>66</v>
      </c>
      <c r="C281" s="14" t="s">
        <v>66</v>
      </c>
      <c r="D281" s="17"/>
      <c r="E281" s="14"/>
      <c r="I281" s="17"/>
      <c r="J281" s="17"/>
    </row>
    <row r="282" spans="1:10" ht="10.5" customHeight="1" x14ac:dyDescent="0.2">
      <c r="A282" s="5">
        <f t="shared" si="160"/>
        <v>282</v>
      </c>
      <c r="B282" s="14" t="s">
        <v>195</v>
      </c>
      <c r="D282" s="17"/>
      <c r="E282" s="14"/>
      <c r="I282" s="17"/>
      <c r="J282" s="17"/>
    </row>
    <row r="283" spans="1:10" ht="10.5" customHeight="1" x14ac:dyDescent="0.2">
      <c r="A283" s="5">
        <f t="shared" si="160"/>
        <v>283</v>
      </c>
      <c r="B283" s="14" t="s">
        <v>196</v>
      </c>
      <c r="D283" s="17"/>
      <c r="E283" s="14"/>
      <c r="G283" s="17"/>
      <c r="I283" s="17"/>
      <c r="J283" s="17"/>
    </row>
    <row r="284" spans="1:10" ht="10.5" customHeight="1" x14ac:dyDescent="0.2">
      <c r="A284" s="5">
        <f t="shared" si="160"/>
        <v>284</v>
      </c>
      <c r="C284" s="14" t="s">
        <v>197</v>
      </c>
      <c r="D284" s="58">
        <v>-5523205</v>
      </c>
      <c r="E284" s="14">
        <v>0</v>
      </c>
      <c r="F284" s="59">
        <f>D284+E284</f>
        <v>-5523205</v>
      </c>
      <c r="G284" s="17">
        <f>H284-F284</f>
        <v>633895</v>
      </c>
      <c r="H284" s="14">
        <f>-4889310</f>
        <v>-4889310</v>
      </c>
      <c r="I284" s="17">
        <v>0</v>
      </c>
      <c r="J284" s="17">
        <f>SUM(H284:I284)</f>
        <v>-4889310</v>
      </c>
    </row>
    <row r="285" spans="1:10" ht="10.5" customHeight="1" x14ac:dyDescent="0.2">
      <c r="A285" s="5">
        <f t="shared" si="160"/>
        <v>285</v>
      </c>
      <c r="C285" s="14" t="s">
        <v>193</v>
      </c>
      <c r="D285" s="58">
        <f>-19294260-D284</f>
        <v>-13771055</v>
      </c>
      <c r="E285" s="14">
        <v>0</v>
      </c>
      <c r="F285" s="59">
        <f>D285+E285</f>
        <v>-13771055</v>
      </c>
      <c r="G285" s="17">
        <f>H285-F285</f>
        <v>27064</v>
      </c>
      <c r="H285" s="14">
        <f>-18633301-H284</f>
        <v>-13743991</v>
      </c>
      <c r="I285" s="17">
        <v>0</v>
      </c>
      <c r="J285" s="17">
        <f>SUM(H285:I285)</f>
        <v>-13743991</v>
      </c>
    </row>
    <row r="286" spans="1:10" ht="10.5" customHeight="1" x14ac:dyDescent="0.2">
      <c r="A286" s="5">
        <f t="shared" si="160"/>
        <v>286</v>
      </c>
      <c r="C286" s="14" t="s">
        <v>198</v>
      </c>
      <c r="D286" s="17">
        <f>SUM(D284:D285)</f>
        <v>-19294260</v>
      </c>
      <c r="E286" s="14">
        <f t="shared" ref="E286:I286" si="161">SUM(E284:E285)</f>
        <v>0</v>
      </c>
      <c r="F286" s="17">
        <f>SUM(F284:F285)</f>
        <v>-19294260</v>
      </c>
      <c r="G286" s="14">
        <f t="shared" si="161"/>
        <v>660959</v>
      </c>
      <c r="H286" s="14">
        <f t="shared" si="161"/>
        <v>-18633301</v>
      </c>
      <c r="I286" s="14">
        <f t="shared" si="161"/>
        <v>0</v>
      </c>
      <c r="J286" s="14">
        <f>SUM(J284:J285)</f>
        <v>-18633301</v>
      </c>
    </row>
    <row r="287" spans="1:10" ht="10.5" customHeight="1" x14ac:dyDescent="0.2">
      <c r="A287" s="5">
        <f t="shared" si="160"/>
        <v>287</v>
      </c>
      <c r="B287" s="14" t="s">
        <v>199</v>
      </c>
      <c r="D287" s="58">
        <v>0</v>
      </c>
      <c r="E287" s="14"/>
      <c r="F287" s="14">
        <f>D287+E287</f>
        <v>0</v>
      </c>
      <c r="G287" s="17">
        <f>H287-F287</f>
        <v>0</v>
      </c>
      <c r="H287" s="14">
        <v>0</v>
      </c>
      <c r="I287" s="17">
        <v>0</v>
      </c>
      <c r="J287" s="17">
        <f>SUM(H287:I287)</f>
        <v>0</v>
      </c>
    </row>
    <row r="288" spans="1:10" ht="10.5" customHeight="1" x14ac:dyDescent="0.2">
      <c r="A288" s="5">
        <f t="shared" si="160"/>
        <v>288</v>
      </c>
      <c r="B288" s="14" t="s">
        <v>200</v>
      </c>
      <c r="D288" s="58">
        <v>380506492</v>
      </c>
      <c r="E288" s="14">
        <v>0</v>
      </c>
      <c r="F288" s="14">
        <f>D288+E288</f>
        <v>380506492</v>
      </c>
      <c r="G288" s="17">
        <f>H288-F288</f>
        <v>-33445729</v>
      </c>
      <c r="H288" s="14">
        <v>347060763</v>
      </c>
      <c r="I288" s="17">
        <v>0</v>
      </c>
      <c r="J288" s="17">
        <f>SUM(H288:I288)</f>
        <v>347060763</v>
      </c>
    </row>
    <row r="289" spans="1:10" ht="10.5" customHeight="1" x14ac:dyDescent="0.2">
      <c r="A289" s="5">
        <f t="shared" si="160"/>
        <v>289</v>
      </c>
      <c r="B289" s="14" t="s">
        <v>201</v>
      </c>
      <c r="D289" s="58">
        <v>15229116</v>
      </c>
      <c r="E289" s="14">
        <v>0</v>
      </c>
      <c r="F289" s="14">
        <f>D289+E289</f>
        <v>15229116</v>
      </c>
      <c r="G289" s="17">
        <f>H289-F289</f>
        <v>3713892</v>
      </c>
      <c r="H289" s="14">
        <v>18943008</v>
      </c>
      <c r="I289" s="17">
        <v>0</v>
      </c>
      <c r="J289" s="17">
        <f>SUM(H289:I289)</f>
        <v>18943008</v>
      </c>
    </row>
    <row r="290" spans="1:10" ht="10.5" customHeight="1" x14ac:dyDescent="0.2">
      <c r="A290" s="5">
        <f t="shared" si="160"/>
        <v>290</v>
      </c>
      <c r="B290" s="14" t="s">
        <v>66</v>
      </c>
      <c r="C290" s="14" t="s">
        <v>202</v>
      </c>
      <c r="D290" s="17">
        <f>SUM(D286:D289)</f>
        <v>376441348</v>
      </c>
      <c r="E290" s="14">
        <f>SUM(E286:E289)</f>
        <v>0</v>
      </c>
      <c r="F290" s="14">
        <f>D290+E290</f>
        <v>376441348</v>
      </c>
      <c r="G290" s="14">
        <f>SUM(G286:G289)</f>
        <v>-29070878</v>
      </c>
      <c r="H290" s="14">
        <f>SUM(H286:H289)</f>
        <v>347370470</v>
      </c>
      <c r="I290" s="14">
        <f t="shared" ref="I290" si="162">SUM(I286:I289)</f>
        <v>0</v>
      </c>
      <c r="J290" s="17">
        <f>SUM(H290:I290)</f>
        <v>347370470</v>
      </c>
    </row>
    <row r="291" spans="1:10" ht="10.5" customHeight="1" x14ac:dyDescent="0.2">
      <c r="A291" s="5">
        <f t="shared" si="160"/>
        <v>291</v>
      </c>
      <c r="B291" s="14" t="s">
        <v>41</v>
      </c>
      <c r="C291" s="14" t="s">
        <v>41</v>
      </c>
      <c r="D291" s="17"/>
      <c r="E291" s="14"/>
      <c r="I291" s="17"/>
      <c r="J291" s="17"/>
    </row>
    <row r="292" spans="1:10" ht="10.5" customHeight="1" x14ac:dyDescent="0.2">
      <c r="A292" s="5">
        <f t="shared" si="160"/>
        <v>292</v>
      </c>
      <c r="B292" s="14" t="s">
        <v>189</v>
      </c>
      <c r="D292" s="17">
        <f>D275-D280-D290</f>
        <v>4263807253.16646</v>
      </c>
      <c r="E292" s="14">
        <f>E275-E280-E290</f>
        <v>-130572582.99923086</v>
      </c>
      <c r="F292" s="14">
        <f>D292+E292</f>
        <v>4133234670.1672292</v>
      </c>
      <c r="G292" s="14">
        <f>G275-G280-G290</f>
        <v>668741186.46660364</v>
      </c>
      <c r="H292" s="14">
        <f>H275-H280-H290</f>
        <v>4801975856.6338329</v>
      </c>
      <c r="I292" s="14">
        <f t="shared" ref="I292:J292" si="163">I275-I280-I290</f>
        <v>210213537.44559786</v>
      </c>
      <c r="J292" s="14">
        <f t="shared" si="163"/>
        <v>5012189394.0794296</v>
      </c>
    </row>
    <row r="293" spans="1:10" ht="10.5" customHeight="1" x14ac:dyDescent="0.2">
      <c r="A293" s="5">
        <f t="shared" si="160"/>
        <v>293</v>
      </c>
      <c r="B293" s="14" t="s">
        <v>203</v>
      </c>
      <c r="D293" s="17"/>
      <c r="E293" s="14"/>
      <c r="I293" s="17"/>
      <c r="J293" s="17"/>
    </row>
    <row r="294" spans="1:10" ht="10.5" customHeight="1" x14ac:dyDescent="0.2">
      <c r="A294" s="5">
        <f t="shared" si="160"/>
        <v>294</v>
      </c>
      <c r="B294" s="14" t="s">
        <v>204</v>
      </c>
      <c r="D294" s="17"/>
      <c r="E294" s="14"/>
      <c r="I294" s="17"/>
      <c r="J294" s="17"/>
    </row>
    <row r="295" spans="1:10" ht="10.5" customHeight="1" x14ac:dyDescent="0.2">
      <c r="A295" s="5">
        <f t="shared" si="160"/>
        <v>295</v>
      </c>
      <c r="B295" s="14" t="s">
        <v>205</v>
      </c>
      <c r="D295" s="58">
        <v>32888603.966923099</v>
      </c>
      <c r="E295" s="14">
        <f>F295-D295</f>
        <v>-14508527.966923099</v>
      </c>
      <c r="F295" s="14">
        <v>18380076</v>
      </c>
      <c r="G295" s="17">
        <f>H295-F295</f>
        <v>11110975.539164264</v>
      </c>
      <c r="H295" s="14">
        <v>29491051.539164264</v>
      </c>
      <c r="I295" s="17">
        <v>0</v>
      </c>
      <c r="J295" s="17">
        <f>SUM(H295:I295)</f>
        <v>29491051.539164264</v>
      </c>
    </row>
    <row r="296" spans="1:10" ht="10.5" customHeight="1" x14ac:dyDescent="0.2">
      <c r="A296" s="5">
        <f t="shared" si="160"/>
        <v>296</v>
      </c>
      <c r="B296" s="14" t="s">
        <v>206</v>
      </c>
      <c r="D296" s="17"/>
      <c r="E296" s="14"/>
      <c r="I296" s="17"/>
      <c r="J296" s="17"/>
    </row>
    <row r="297" spans="1:10" ht="10.5" customHeight="1" x14ac:dyDescent="0.2">
      <c r="A297" s="5">
        <f t="shared" si="160"/>
        <v>297</v>
      </c>
      <c r="B297" s="14" t="s">
        <v>207</v>
      </c>
      <c r="D297" s="58">
        <v>14786326.880134504</v>
      </c>
      <c r="E297" s="14">
        <f>(D297/$D$301)*-1669737.82</f>
        <v>-146964.02929650972</v>
      </c>
      <c r="F297" s="14">
        <f>D297+E297</f>
        <v>14639362.850837994</v>
      </c>
      <c r="G297" s="14">
        <f>(F297/$F$301)*0</f>
        <v>0</v>
      </c>
      <c r="H297" s="14">
        <f>F297+G297</f>
        <v>14639362.850837994</v>
      </c>
      <c r="I297" s="17">
        <v>0</v>
      </c>
      <c r="J297" s="17">
        <f>SUM(H297:I297)</f>
        <v>14639362.850837994</v>
      </c>
    </row>
    <row r="298" spans="1:10" ht="10.5" customHeight="1" x14ac:dyDescent="0.2">
      <c r="A298" s="5">
        <f t="shared" si="160"/>
        <v>298</v>
      </c>
      <c r="B298" s="14" t="s">
        <v>208</v>
      </c>
      <c r="D298" s="58">
        <v>61464481.07626044</v>
      </c>
      <c r="E298" s="14">
        <f t="shared" ref="E298:E300" si="164">(D298/$D$301)*-1669737.82</f>
        <v>-610906.81078627263</v>
      </c>
      <c r="F298" s="14">
        <f>D298+E298</f>
        <v>60853574.26547417</v>
      </c>
      <c r="G298" s="14">
        <f t="shared" ref="G298:G300" si="165">(F298/$F$301)*0</f>
        <v>0</v>
      </c>
      <c r="H298" s="14">
        <f t="shared" ref="H298:H299" si="166">F298+G298</f>
        <v>60853574.26547417</v>
      </c>
      <c r="I298" s="17">
        <v>0</v>
      </c>
      <c r="J298" s="17">
        <f>SUM(H298:I298)</f>
        <v>60853574.26547417</v>
      </c>
    </row>
    <row r="299" spans="1:10" ht="10.5" customHeight="1" x14ac:dyDescent="0.2">
      <c r="A299" s="5">
        <f t="shared" si="160"/>
        <v>299</v>
      </c>
      <c r="B299" s="14" t="s">
        <v>209</v>
      </c>
      <c r="D299" s="58">
        <v>81974467.451719329</v>
      </c>
      <c r="E299" s="14">
        <f t="shared" si="164"/>
        <v>-814759.34718620754</v>
      </c>
      <c r="F299" s="14">
        <f>D299+E299</f>
        <v>81159708.104533121</v>
      </c>
      <c r="G299" s="14">
        <f t="shared" si="165"/>
        <v>0</v>
      </c>
      <c r="H299" s="14">
        <f t="shared" si="166"/>
        <v>81159708.104533121</v>
      </c>
      <c r="I299" s="17">
        <v>0</v>
      </c>
      <c r="J299" s="17">
        <f>SUM(H299:I299)</f>
        <v>81159708.104533121</v>
      </c>
    </row>
    <row r="300" spans="1:10" ht="10.5" customHeight="1" x14ac:dyDescent="0.2">
      <c r="A300" s="5">
        <f t="shared" si="160"/>
        <v>300</v>
      </c>
      <c r="B300" s="14" t="s">
        <v>210</v>
      </c>
      <c r="D300" s="58">
        <v>9770181.2272703443</v>
      </c>
      <c r="E300" s="14">
        <f t="shared" si="164"/>
        <v>-97107.632731010395</v>
      </c>
      <c r="F300" s="14">
        <f>D300+E300</f>
        <v>9673073.5945393331</v>
      </c>
      <c r="G300" s="14">
        <f t="shared" si="165"/>
        <v>0</v>
      </c>
      <c r="H300" s="14">
        <f>F300+G300</f>
        <v>9673073.5945393331</v>
      </c>
      <c r="I300" s="17">
        <v>0</v>
      </c>
      <c r="J300" s="17">
        <f>SUM(H300:I300)</f>
        <v>9673073.5945393331</v>
      </c>
    </row>
    <row r="301" spans="1:10" ht="10.5" customHeight="1" x14ac:dyDescent="0.2">
      <c r="A301" s="5">
        <f t="shared" si="160"/>
        <v>301</v>
      </c>
      <c r="B301" s="14" t="s">
        <v>66</v>
      </c>
      <c r="C301" s="14" t="s">
        <v>211</v>
      </c>
      <c r="D301" s="17">
        <f>SUM(D297:D300)</f>
        <v>167995456.63538459</v>
      </c>
      <c r="E301" s="17">
        <f>SUM(E297:E300)</f>
        <v>-1669737.8200000003</v>
      </c>
      <c r="F301" s="14">
        <f>D301+E301</f>
        <v>166325718.8153846</v>
      </c>
      <c r="G301" s="14">
        <f>SUM(G297:G300)</f>
        <v>0</v>
      </c>
      <c r="H301" s="14">
        <f>SUM(H297:H300)</f>
        <v>166325718.81538463</v>
      </c>
      <c r="I301" s="17">
        <v>0</v>
      </c>
      <c r="J301" s="17">
        <f>SUM(H301:I301)</f>
        <v>166325718.81538463</v>
      </c>
    </row>
    <row r="302" spans="1:10" ht="10.5" customHeight="1" x14ac:dyDescent="0.2">
      <c r="A302" s="5">
        <f t="shared" si="160"/>
        <v>302</v>
      </c>
      <c r="B302" s="14" t="s">
        <v>212</v>
      </c>
      <c r="D302" s="17"/>
      <c r="E302" s="14"/>
      <c r="I302" s="17"/>
      <c r="J302" s="17"/>
    </row>
    <row r="303" spans="1:10" ht="10.5" customHeight="1" x14ac:dyDescent="0.2">
      <c r="A303" s="5">
        <f t="shared" si="160"/>
        <v>303</v>
      </c>
      <c r="B303" s="14" t="s">
        <v>213</v>
      </c>
      <c r="D303" s="17">
        <v>3141176.3500000006</v>
      </c>
      <c r="E303" s="14">
        <f>-D303</f>
        <v>-3141176.3500000006</v>
      </c>
      <c r="F303" s="14">
        <f t="shared" ref="F303:F309" si="167">D303+E303</f>
        <v>0</v>
      </c>
      <c r="G303" s="14">
        <v>0</v>
      </c>
      <c r="H303" s="14">
        <v>0</v>
      </c>
      <c r="I303" s="17">
        <v>0</v>
      </c>
      <c r="J303" s="17">
        <f>SUM(H303:I303)</f>
        <v>0</v>
      </c>
    </row>
    <row r="304" spans="1:10" ht="10.5" customHeight="1" x14ac:dyDescent="0.2">
      <c r="A304" s="5">
        <f t="shared" si="160"/>
        <v>304</v>
      </c>
      <c r="B304" s="14" t="s">
        <v>214</v>
      </c>
      <c r="D304" s="17">
        <v>1378051.7700000429</v>
      </c>
      <c r="E304" s="14">
        <f t="shared" ref="E304:E308" si="168">-D304</f>
        <v>-1378051.7700000429</v>
      </c>
      <c r="F304" s="14">
        <f t="shared" si="167"/>
        <v>0</v>
      </c>
      <c r="G304" s="14">
        <v>0</v>
      </c>
      <c r="H304" s="14">
        <v>0</v>
      </c>
      <c r="I304" s="17">
        <v>0</v>
      </c>
      <c r="J304" s="17">
        <f t="shared" ref="J304:J309" si="169">SUM(H304:I304)</f>
        <v>0</v>
      </c>
    </row>
    <row r="305" spans="1:10" ht="10.5" customHeight="1" x14ac:dyDescent="0.2">
      <c r="A305" s="5">
        <f t="shared" si="160"/>
        <v>305</v>
      </c>
      <c r="B305" s="14" t="s">
        <v>215</v>
      </c>
      <c r="D305" s="17">
        <v>12506384.760000002</v>
      </c>
      <c r="E305" s="14">
        <f t="shared" si="168"/>
        <v>-12506384.760000002</v>
      </c>
      <c r="F305" s="14">
        <f t="shared" si="167"/>
        <v>0</v>
      </c>
      <c r="G305" s="14">
        <v>0</v>
      </c>
      <c r="H305" s="14">
        <v>0</v>
      </c>
      <c r="I305" s="17">
        <v>0</v>
      </c>
      <c r="J305" s="17">
        <f t="shared" si="169"/>
        <v>0</v>
      </c>
    </row>
    <row r="306" spans="1:10" ht="10.5" customHeight="1" x14ac:dyDescent="0.2">
      <c r="A306" s="5">
        <f t="shared" si="160"/>
        <v>306</v>
      </c>
      <c r="B306" s="14" t="s">
        <v>216</v>
      </c>
      <c r="D306" s="17">
        <v>0</v>
      </c>
      <c r="E306" s="14">
        <f t="shared" si="168"/>
        <v>0</v>
      </c>
      <c r="F306" s="14">
        <f t="shared" si="167"/>
        <v>0</v>
      </c>
      <c r="G306" s="14">
        <v>0</v>
      </c>
      <c r="H306" s="14">
        <v>0</v>
      </c>
      <c r="I306" s="17">
        <v>0</v>
      </c>
      <c r="J306" s="17">
        <f t="shared" si="169"/>
        <v>0</v>
      </c>
    </row>
    <row r="307" spans="1:10" ht="10.5" customHeight="1" x14ac:dyDescent="0.2">
      <c r="A307" s="5">
        <f t="shared" si="160"/>
        <v>307</v>
      </c>
      <c r="B307" s="14" t="s">
        <v>217</v>
      </c>
      <c r="D307" s="17">
        <v>5993859.1899999864</v>
      </c>
      <c r="E307" s="14">
        <f t="shared" si="168"/>
        <v>-5993859.1899999864</v>
      </c>
      <c r="F307" s="14">
        <f t="shared" si="167"/>
        <v>0</v>
      </c>
      <c r="G307" s="14">
        <v>0</v>
      </c>
      <c r="H307" s="14">
        <v>0</v>
      </c>
      <c r="I307" s="14">
        <f t="shared" ref="I307:I309" si="170">SUM(I295:I306)</f>
        <v>0</v>
      </c>
      <c r="J307" s="17">
        <f t="shared" si="169"/>
        <v>0</v>
      </c>
    </row>
    <row r="308" spans="1:10" ht="10.5" customHeight="1" x14ac:dyDescent="0.2">
      <c r="A308" s="5">
        <f t="shared" si="160"/>
        <v>308</v>
      </c>
      <c r="B308" s="14" t="s">
        <v>218</v>
      </c>
      <c r="D308" s="17">
        <v>6308202.9099999806</v>
      </c>
      <c r="E308" s="14">
        <f t="shared" si="168"/>
        <v>-6308202.9099999806</v>
      </c>
      <c r="F308" s="14">
        <f t="shared" si="167"/>
        <v>0</v>
      </c>
      <c r="G308" s="14">
        <v>0</v>
      </c>
      <c r="H308" s="14">
        <v>0</v>
      </c>
      <c r="I308" s="14">
        <f t="shared" si="170"/>
        <v>0</v>
      </c>
      <c r="J308" s="17">
        <f t="shared" si="169"/>
        <v>0</v>
      </c>
    </row>
    <row r="309" spans="1:10" ht="10.5" customHeight="1" x14ac:dyDescent="0.2">
      <c r="A309" s="5">
        <f t="shared" si="160"/>
        <v>309</v>
      </c>
      <c r="B309" s="14" t="s">
        <v>66</v>
      </c>
      <c r="C309" s="14" t="s">
        <v>219</v>
      </c>
      <c r="D309" s="17">
        <f>SUM(D303:D308)</f>
        <v>29327674.980000015</v>
      </c>
      <c r="E309" s="14">
        <f>SUM(E303:E308)</f>
        <v>-29327674.980000015</v>
      </c>
      <c r="F309" s="14">
        <f t="shared" si="167"/>
        <v>0</v>
      </c>
      <c r="G309" s="14">
        <v>0</v>
      </c>
      <c r="H309" s="14">
        <f>SUM(H303:H308)</f>
        <v>0</v>
      </c>
      <c r="I309" s="14">
        <f t="shared" si="170"/>
        <v>0</v>
      </c>
      <c r="J309" s="17">
        <f t="shared" si="169"/>
        <v>0</v>
      </c>
    </row>
    <row r="310" spans="1:10" ht="10.5" customHeight="1" x14ac:dyDescent="0.2">
      <c r="A310" s="5">
        <f t="shared" si="160"/>
        <v>310</v>
      </c>
      <c r="B310" s="14" t="s">
        <v>66</v>
      </c>
      <c r="C310" s="14" t="s">
        <v>220</v>
      </c>
      <c r="D310" s="17">
        <v>0</v>
      </c>
      <c r="E310" s="14">
        <v>0</v>
      </c>
      <c r="F310" s="14">
        <v>0</v>
      </c>
      <c r="G310" s="14">
        <v>0</v>
      </c>
      <c r="H310" s="14">
        <v>0</v>
      </c>
      <c r="I310" s="17">
        <v>0</v>
      </c>
      <c r="J310" s="17">
        <v>0</v>
      </c>
    </row>
    <row r="311" spans="1:10" ht="10.5" customHeight="1" x14ac:dyDescent="0.2">
      <c r="A311" s="5">
        <f t="shared" si="160"/>
        <v>311</v>
      </c>
      <c r="B311" s="14" t="s">
        <v>66</v>
      </c>
      <c r="C311" s="14" t="s">
        <v>66</v>
      </c>
      <c r="D311" s="17" t="str">
        <f>IF(ROUND(D310,0)=ROUND(SUM(G310:G310),0)," ","L 514 WORKING CAPITAL IS WRONG")</f>
        <v xml:space="preserve"> </v>
      </c>
      <c r="E311" s="14"/>
      <c r="H311" s="14" t="str">
        <f>IF(ROUND(H310,0)=ROUND(SUM(I310:I310),0)," ","L 514 WORKING CAPITAL IS WRONG")</f>
        <v xml:space="preserve"> </v>
      </c>
      <c r="I311" s="17"/>
      <c r="J311" s="17"/>
    </row>
    <row r="312" spans="1:10" ht="10.5" customHeight="1" x14ac:dyDescent="0.2">
      <c r="A312" s="5">
        <f t="shared" si="160"/>
        <v>312</v>
      </c>
      <c r="B312" s="14" t="s">
        <v>66</v>
      </c>
      <c r="C312" s="14" t="s">
        <v>221</v>
      </c>
      <c r="D312" s="17">
        <f>SUM(D295,D301,D309,D310)</f>
        <v>230211735.5823077</v>
      </c>
      <c r="E312" s="14">
        <f>SUM(E295,E301,E309,E310)</f>
        <v>-45505940.766923115</v>
      </c>
      <c r="F312" s="14">
        <f>D312+E312</f>
        <v>184705794.81538457</v>
      </c>
      <c r="G312" s="14">
        <f>SUM(G295,G301,G309,G310)</f>
        <v>11110975.539164264</v>
      </c>
      <c r="H312" s="14">
        <f>SUM(H295,H301,H309,H310)</f>
        <v>195816770.3545489</v>
      </c>
      <c r="I312" s="14">
        <f>SUM(I295,I301,I309,I310)</f>
        <v>0</v>
      </c>
      <c r="J312" s="17">
        <f>SUM(H312:I312)</f>
        <v>195816770.3545489</v>
      </c>
    </row>
    <row r="313" spans="1:10" ht="10.5" customHeight="1" x14ac:dyDescent="0.2">
      <c r="A313" s="5">
        <f t="shared" si="160"/>
        <v>313</v>
      </c>
      <c r="B313" s="14" t="s">
        <v>66</v>
      </c>
      <c r="C313" s="14" t="s">
        <v>66</v>
      </c>
      <c r="D313" s="17"/>
      <c r="E313" s="14"/>
      <c r="I313" s="17"/>
      <c r="J313" s="17"/>
    </row>
    <row r="314" spans="1:10" ht="10.5" customHeight="1" x14ac:dyDescent="0.2">
      <c r="A314" s="5">
        <f t="shared" si="160"/>
        <v>314</v>
      </c>
      <c r="B314" s="14" t="s">
        <v>189</v>
      </c>
      <c r="D314" s="17">
        <f>D$292+D$312</f>
        <v>4494018988.7487679</v>
      </c>
      <c r="E314" s="14">
        <f>E$292+E$312</f>
        <v>-176078523.76615399</v>
      </c>
      <c r="F314" s="14">
        <f>D$314+E$314</f>
        <v>4317940464.9826136</v>
      </c>
      <c r="G314" s="14">
        <f>G$292+G$312</f>
        <v>679852162.00576794</v>
      </c>
      <c r="H314" s="14">
        <f>H$292+H$312</f>
        <v>4997792626.9883814</v>
      </c>
      <c r="I314" s="14">
        <f t="shared" ref="I314" si="171">I$292+I$312</f>
        <v>210213537.44559786</v>
      </c>
      <c r="J314" s="14">
        <f>J$292+J$312</f>
        <v>5208006164.4339781</v>
      </c>
    </row>
    <row r="315" spans="1:10" ht="10.5" customHeight="1" x14ac:dyDescent="0.2">
      <c r="A315" s="5">
        <f t="shared" si="160"/>
        <v>315</v>
      </c>
      <c r="B315" s="13" t="str">
        <f>B273</f>
        <v>TABLE 3-ADDITIONS &amp; DEDUCTIONS TO RATEBASE</v>
      </c>
      <c r="D315" s="17"/>
      <c r="E315" s="14"/>
      <c r="I315" s="17"/>
      <c r="J315" s="17"/>
    </row>
    <row r="316" spans="1:10" ht="10.5" customHeight="1" x14ac:dyDescent="0.2">
      <c r="A316" s="5">
        <f t="shared" si="160"/>
        <v>316</v>
      </c>
      <c r="B316" s="13" t="s">
        <v>41</v>
      </c>
      <c r="D316" s="17"/>
      <c r="E316" s="14"/>
      <c r="J316" s="17"/>
    </row>
    <row r="317" spans="1:10" ht="10.5" customHeight="1" x14ac:dyDescent="0.2">
      <c r="A317" s="5">
        <f t="shared" si="160"/>
        <v>317</v>
      </c>
      <c r="B317" s="14" t="s">
        <v>189</v>
      </c>
      <c r="D317" s="17">
        <f>D$292+D$312</f>
        <v>4494018988.7487679</v>
      </c>
      <c r="E317" s="14">
        <f>E$292+E$312</f>
        <v>-176078523.76615399</v>
      </c>
      <c r="F317" s="14">
        <f>D$314+E$314</f>
        <v>4317940464.9826136</v>
      </c>
      <c r="G317" s="17">
        <f>H317-F317</f>
        <v>679852162.00576782</v>
      </c>
      <c r="H317" s="14">
        <f t="shared" ref="H317" si="172">H$292+H$312</f>
        <v>4997792626.9883814</v>
      </c>
      <c r="I317" s="14">
        <f t="shared" ref="I317:J317" si="173">I$292+I$312</f>
        <v>210213537.44559786</v>
      </c>
      <c r="J317" s="14">
        <f t="shared" si="173"/>
        <v>5208006164.4339781</v>
      </c>
    </row>
    <row r="318" spans="1:10" ht="10.5" customHeight="1" x14ac:dyDescent="0.2">
      <c r="A318" s="5">
        <f t="shared" si="160"/>
        <v>318</v>
      </c>
      <c r="B318" s="14" t="s">
        <v>203</v>
      </c>
      <c r="D318" s="17"/>
      <c r="E318" s="14"/>
      <c r="J318" s="17"/>
    </row>
    <row r="319" spans="1:10" ht="10.5" customHeight="1" x14ac:dyDescent="0.2">
      <c r="A319" s="5">
        <f t="shared" si="160"/>
        <v>319</v>
      </c>
      <c r="B319" s="14" t="s">
        <v>222</v>
      </c>
      <c r="D319" s="17"/>
      <c r="E319" s="14"/>
      <c r="J319" s="17"/>
    </row>
    <row r="320" spans="1:10" ht="10.5" customHeight="1" x14ac:dyDescent="0.2">
      <c r="A320" s="5">
        <f t="shared" si="160"/>
        <v>320</v>
      </c>
      <c r="B320" s="14" t="s">
        <v>223</v>
      </c>
      <c r="D320" s="17">
        <v>104155.31</v>
      </c>
      <c r="E320" s="14">
        <v>-104155</v>
      </c>
      <c r="F320" s="14">
        <f t="shared" ref="F320:F329" si="174">D320+E320</f>
        <v>0.30999999999767169</v>
      </c>
      <c r="G320" s="14">
        <v>0</v>
      </c>
      <c r="H320" s="14">
        <f t="shared" ref="H320:H326" si="175">SUM(F320:G320)</f>
        <v>0.30999999999767169</v>
      </c>
      <c r="I320" s="14">
        <v>0</v>
      </c>
      <c r="J320" s="17">
        <f t="shared" ref="J320:J326" si="176">SUM(H320:I320)</f>
        <v>0.30999999999767169</v>
      </c>
    </row>
    <row r="321" spans="1:10" ht="10.5" customHeight="1" x14ac:dyDescent="0.2">
      <c r="A321" s="5">
        <f t="shared" si="160"/>
        <v>321</v>
      </c>
      <c r="B321" s="14" t="s">
        <v>224</v>
      </c>
      <c r="D321" s="17">
        <v>3149978.26</v>
      </c>
      <c r="E321" s="14">
        <f>-105552-E322-E323</f>
        <v>93516.84</v>
      </c>
      <c r="F321" s="14">
        <f t="shared" si="174"/>
        <v>3243495.0999999996</v>
      </c>
      <c r="G321" s="14">
        <v>2499426</v>
      </c>
      <c r="H321" s="14">
        <f t="shared" si="175"/>
        <v>5742921.0999999996</v>
      </c>
      <c r="I321" s="14">
        <v>0</v>
      </c>
      <c r="J321" s="17">
        <f t="shared" si="176"/>
        <v>5742921.0999999996</v>
      </c>
    </row>
    <row r="322" spans="1:10" ht="10.5" customHeight="1" x14ac:dyDescent="0.2">
      <c r="A322" s="5">
        <f t="shared" si="160"/>
        <v>322</v>
      </c>
      <c r="B322" s="14" t="s">
        <v>225</v>
      </c>
      <c r="D322" s="17">
        <v>166668.84</v>
      </c>
      <c r="E322" s="14">
        <f>-D322</f>
        <v>-166668.84</v>
      </c>
      <c r="F322" s="14">
        <f t="shared" si="174"/>
        <v>0</v>
      </c>
      <c r="G322" s="14">
        <v>0</v>
      </c>
      <c r="H322" s="14">
        <f t="shared" si="175"/>
        <v>0</v>
      </c>
      <c r="I322" s="14">
        <v>0</v>
      </c>
      <c r="J322" s="17">
        <f t="shared" si="176"/>
        <v>0</v>
      </c>
    </row>
    <row r="323" spans="1:10" ht="10.5" customHeight="1" x14ac:dyDescent="0.2">
      <c r="A323" s="5">
        <f t="shared" si="160"/>
        <v>323</v>
      </c>
      <c r="B323" s="14" t="s">
        <v>226</v>
      </c>
      <c r="D323" s="17">
        <v>32400</v>
      </c>
      <c r="E323" s="14">
        <f t="shared" ref="E323:E329" si="177">-D323</f>
        <v>-32400</v>
      </c>
      <c r="F323" s="14">
        <f t="shared" si="174"/>
        <v>0</v>
      </c>
      <c r="G323" s="14">
        <v>0</v>
      </c>
      <c r="H323" s="14">
        <f t="shared" si="175"/>
        <v>0</v>
      </c>
      <c r="I323" s="14">
        <v>0</v>
      </c>
      <c r="J323" s="17">
        <f t="shared" si="176"/>
        <v>0</v>
      </c>
    </row>
    <row r="324" spans="1:10" ht="10.5" customHeight="1" x14ac:dyDescent="0.2">
      <c r="A324" s="5">
        <f t="shared" si="160"/>
        <v>324</v>
      </c>
      <c r="B324" s="14" t="s">
        <v>227</v>
      </c>
      <c r="D324" s="17">
        <v>7206173.4500000002</v>
      </c>
      <c r="E324" s="14">
        <f>-291903-E325-E326</f>
        <v>206203.15999999997</v>
      </c>
      <c r="F324" s="14">
        <f t="shared" si="174"/>
        <v>7412376.6100000003</v>
      </c>
      <c r="G324" s="14">
        <v>206360</v>
      </c>
      <c r="H324" s="14">
        <f t="shared" si="175"/>
        <v>7618736.6100000003</v>
      </c>
      <c r="I324" s="14">
        <v>0</v>
      </c>
      <c r="J324" s="17">
        <f t="shared" si="176"/>
        <v>7618736.6100000003</v>
      </c>
    </row>
    <row r="325" spans="1:10" ht="10.5" customHeight="1" x14ac:dyDescent="0.2">
      <c r="A325" s="5">
        <f t="shared" si="160"/>
        <v>325</v>
      </c>
      <c r="B325" s="14" t="s">
        <v>228</v>
      </c>
      <c r="D325" s="17">
        <v>498106.16</v>
      </c>
      <c r="E325" s="14">
        <f>-D325</f>
        <v>-498106.16</v>
      </c>
      <c r="F325" s="14">
        <f t="shared" si="174"/>
        <v>0</v>
      </c>
      <c r="G325" s="14">
        <v>0</v>
      </c>
      <c r="H325" s="14">
        <f t="shared" si="175"/>
        <v>0</v>
      </c>
      <c r="I325" s="14">
        <v>0</v>
      </c>
      <c r="J325" s="17">
        <f t="shared" si="176"/>
        <v>0</v>
      </c>
    </row>
    <row r="326" spans="1:10" ht="10.5" customHeight="1" x14ac:dyDescent="0.2">
      <c r="A326" s="5">
        <f t="shared" si="160"/>
        <v>326</v>
      </c>
      <c r="B326" s="14" t="s">
        <v>229</v>
      </c>
      <c r="D326" s="17">
        <v>0</v>
      </c>
      <c r="E326" s="14">
        <v>0</v>
      </c>
      <c r="F326" s="14">
        <v>0</v>
      </c>
      <c r="G326" s="14">
        <v>0</v>
      </c>
      <c r="H326" s="14">
        <f t="shared" si="175"/>
        <v>0</v>
      </c>
      <c r="I326" s="14">
        <v>0</v>
      </c>
      <c r="J326" s="17">
        <f t="shared" si="176"/>
        <v>0</v>
      </c>
    </row>
    <row r="327" spans="1:10" ht="10.5" customHeight="1" x14ac:dyDescent="0.2">
      <c r="A327" s="5">
        <f t="shared" si="160"/>
        <v>327</v>
      </c>
      <c r="B327" s="14" t="s">
        <v>230</v>
      </c>
      <c r="D327" s="17">
        <v>0</v>
      </c>
      <c r="E327" s="14">
        <v>0</v>
      </c>
      <c r="F327" s="14">
        <f t="shared" si="174"/>
        <v>0</v>
      </c>
      <c r="G327" s="14">
        <v>0</v>
      </c>
      <c r="H327" s="14">
        <f>SUM(F327:G327)</f>
        <v>0</v>
      </c>
      <c r="I327" s="14">
        <v>0</v>
      </c>
      <c r="J327" s="17">
        <f>SUM(H327:I327)</f>
        <v>0</v>
      </c>
    </row>
    <row r="328" spans="1:10" ht="10.5" customHeight="1" x14ac:dyDescent="0.2">
      <c r="A328" s="5">
        <f t="shared" ref="A328:A391" si="178">A327+1</f>
        <v>328</v>
      </c>
      <c r="B328" s="14" t="s">
        <v>231</v>
      </c>
      <c r="D328" s="17">
        <v>0</v>
      </c>
      <c r="E328" s="14">
        <f t="shared" si="177"/>
        <v>0</v>
      </c>
      <c r="F328" s="14">
        <f t="shared" si="174"/>
        <v>0</v>
      </c>
      <c r="G328" s="14">
        <v>0</v>
      </c>
      <c r="H328" s="14">
        <f>SUM(F328:G328)</f>
        <v>0</v>
      </c>
      <c r="I328" s="14">
        <v>0</v>
      </c>
      <c r="J328" s="17">
        <f>SUM(H328:I328)</f>
        <v>0</v>
      </c>
    </row>
    <row r="329" spans="1:10" ht="10.5" customHeight="1" x14ac:dyDescent="0.2">
      <c r="A329" s="5">
        <f t="shared" si="178"/>
        <v>329</v>
      </c>
      <c r="B329" s="14" t="s">
        <v>232</v>
      </c>
      <c r="D329" s="17">
        <v>2053241.16</v>
      </c>
      <c r="E329" s="14">
        <f t="shared" si="177"/>
        <v>-2053241.16</v>
      </c>
      <c r="F329" s="14">
        <f t="shared" si="174"/>
        <v>0</v>
      </c>
      <c r="G329" s="14">
        <v>0</v>
      </c>
      <c r="H329" s="14">
        <f>SUM(F329:G329)</f>
        <v>0</v>
      </c>
      <c r="I329" s="14">
        <v>0</v>
      </c>
      <c r="J329" s="17">
        <f>SUM(H329:I329)</f>
        <v>0</v>
      </c>
    </row>
    <row r="330" spans="1:10" ht="10.5" customHeight="1" x14ac:dyDescent="0.2">
      <c r="A330" s="5">
        <f t="shared" si="178"/>
        <v>330</v>
      </c>
      <c r="B330" s="14" t="s">
        <v>66</v>
      </c>
      <c r="C330" s="14" t="s">
        <v>233</v>
      </c>
      <c r="D330" s="17">
        <f>SUM(D320:D329)</f>
        <v>13210723.18</v>
      </c>
      <c r="E330" s="14">
        <f>SUM(E320:E329)</f>
        <v>-2554851.16</v>
      </c>
      <c r="F330" s="14">
        <f>D330+E330</f>
        <v>10655872.02</v>
      </c>
      <c r="G330" s="14">
        <f>SUM(G320:G329)</f>
        <v>2705786</v>
      </c>
      <c r="H330" s="14">
        <f>SUM(H320:H329)</f>
        <v>13361658.02</v>
      </c>
      <c r="I330" s="14">
        <f>SUM(I320:I329)</f>
        <v>0</v>
      </c>
      <c r="J330" s="14">
        <f>SUM(J320:J329)</f>
        <v>13361658.02</v>
      </c>
    </row>
    <row r="331" spans="1:10" ht="10.5" customHeight="1" x14ac:dyDescent="0.2">
      <c r="A331" s="5">
        <f t="shared" si="178"/>
        <v>331</v>
      </c>
      <c r="D331" s="17"/>
      <c r="E331" s="14"/>
      <c r="I331" s="17"/>
      <c r="J331" s="17"/>
    </row>
    <row r="332" spans="1:10" ht="10.5" customHeight="1" x14ac:dyDescent="0.2">
      <c r="A332" s="5">
        <f t="shared" si="178"/>
        <v>332</v>
      </c>
      <c r="B332" s="30" t="s">
        <v>234</v>
      </c>
      <c r="C332" s="30"/>
      <c r="D332" s="17">
        <v>613229.43999999994</v>
      </c>
      <c r="E332" s="14">
        <v>0</v>
      </c>
      <c r="F332" s="14">
        <f>D332+E332</f>
        <v>613229.43999999994</v>
      </c>
      <c r="G332" s="14">
        <v>-15018</v>
      </c>
      <c r="H332" s="14">
        <f>SUM(F332:G332)</f>
        <v>598211.43999999994</v>
      </c>
      <c r="I332" s="14">
        <v>0</v>
      </c>
      <c r="J332" s="17">
        <f>SUM(H332:I332)</f>
        <v>598211.43999999994</v>
      </c>
    </row>
    <row r="333" spans="1:10" ht="10.5" customHeight="1" x14ac:dyDescent="0.2">
      <c r="A333" s="5">
        <f t="shared" si="178"/>
        <v>333</v>
      </c>
      <c r="B333" s="14" t="s">
        <v>66</v>
      </c>
      <c r="C333" s="14" t="s">
        <v>66</v>
      </c>
      <c r="D333" s="17"/>
      <c r="E333" s="14"/>
      <c r="J333" s="17"/>
    </row>
    <row r="334" spans="1:10" ht="10.5" customHeight="1" x14ac:dyDescent="0.2">
      <c r="A334" s="5">
        <f t="shared" si="178"/>
        <v>334</v>
      </c>
      <c r="B334" s="14" t="s">
        <v>235</v>
      </c>
      <c r="D334" s="17"/>
      <c r="E334" s="14"/>
      <c r="J334" s="17"/>
    </row>
    <row r="335" spans="1:10" ht="10.5" customHeight="1" x14ac:dyDescent="0.2">
      <c r="A335" s="5">
        <f t="shared" si="178"/>
        <v>335</v>
      </c>
      <c r="B335" s="14" t="s">
        <v>236</v>
      </c>
      <c r="D335" s="17"/>
      <c r="E335" s="14"/>
      <c r="J335" s="17"/>
    </row>
    <row r="336" spans="1:10" ht="10.5" customHeight="1" x14ac:dyDescent="0.2">
      <c r="A336" s="5">
        <f t="shared" si="178"/>
        <v>336</v>
      </c>
      <c r="B336" s="14" t="s">
        <v>66</v>
      </c>
      <c r="C336" s="14" t="s">
        <v>237</v>
      </c>
      <c r="D336" s="59">
        <v>0</v>
      </c>
      <c r="E336" s="14">
        <v>0</v>
      </c>
      <c r="F336" s="14">
        <f>D336+E336</f>
        <v>0</v>
      </c>
      <c r="G336" s="17">
        <f>H336-F336</f>
        <v>0</v>
      </c>
      <c r="H336" s="14">
        <v>0</v>
      </c>
      <c r="I336" s="14">
        <v>0</v>
      </c>
      <c r="J336" s="17">
        <f>SUM(H336:I336)</f>
        <v>0</v>
      </c>
    </row>
    <row r="337" spans="1:10" ht="10.5" customHeight="1" x14ac:dyDescent="0.2">
      <c r="A337" s="5">
        <f t="shared" si="178"/>
        <v>337</v>
      </c>
      <c r="B337" s="14" t="s">
        <v>66</v>
      </c>
      <c r="C337" s="14" t="s">
        <v>238</v>
      </c>
      <c r="D337" s="59">
        <v>0</v>
      </c>
      <c r="E337" s="14">
        <v>0</v>
      </c>
      <c r="F337" s="14">
        <f>D337+E337</f>
        <v>0</v>
      </c>
      <c r="H337" s="14">
        <v>0</v>
      </c>
      <c r="I337" s="14">
        <v>0</v>
      </c>
      <c r="J337" s="17">
        <f>SUM(H337:I337)</f>
        <v>0</v>
      </c>
    </row>
    <row r="338" spans="1:10" ht="10.5" customHeight="1" x14ac:dyDescent="0.2">
      <c r="A338" s="5">
        <f t="shared" si="178"/>
        <v>338</v>
      </c>
      <c r="B338" s="14" t="s">
        <v>41</v>
      </c>
      <c r="C338" s="14" t="s">
        <v>239</v>
      </c>
      <c r="D338" s="17">
        <f>SUM(D336:D337)</f>
        <v>0</v>
      </c>
      <c r="E338" s="17">
        <f>SUM(E336:E337)</f>
        <v>0</v>
      </c>
      <c r="F338" s="14">
        <f>D338+E338</f>
        <v>0</v>
      </c>
      <c r="H338" s="14">
        <f>SUM(H336:H337)</f>
        <v>0</v>
      </c>
      <c r="I338" s="14">
        <v>0</v>
      </c>
      <c r="J338" s="17">
        <f>SUM(H338:I338)</f>
        <v>0</v>
      </c>
    </row>
    <row r="339" spans="1:10" ht="10.5" customHeight="1" x14ac:dyDescent="0.2">
      <c r="A339" s="5">
        <f t="shared" si="178"/>
        <v>339</v>
      </c>
      <c r="B339" s="14" t="s">
        <v>240</v>
      </c>
      <c r="D339" s="17"/>
      <c r="E339" s="14"/>
      <c r="J339" s="17"/>
    </row>
    <row r="340" spans="1:10" ht="10.5" customHeight="1" x14ac:dyDescent="0.2">
      <c r="A340" s="5">
        <f t="shared" si="178"/>
        <v>340</v>
      </c>
      <c r="C340" s="58" t="s">
        <v>241</v>
      </c>
      <c r="D340" s="58">
        <v>37450.340000000004</v>
      </c>
      <c r="E340" s="14">
        <v>0</v>
      </c>
      <c r="F340" s="14">
        <f t="shared" ref="F340:F345" si="179">D340+E340</f>
        <v>37450.340000000004</v>
      </c>
      <c r="G340" s="14">
        <f>-F340</f>
        <v>-37450.340000000004</v>
      </c>
      <c r="H340" s="14">
        <f t="shared" ref="H340:H349" si="180">G340+F340</f>
        <v>0</v>
      </c>
      <c r="I340" s="14">
        <v>0</v>
      </c>
      <c r="J340" s="17">
        <f t="shared" ref="J340:J345" si="181">SUM(H340:I340)</f>
        <v>0</v>
      </c>
    </row>
    <row r="341" spans="1:10" ht="10.5" customHeight="1" x14ac:dyDescent="0.2">
      <c r="A341" s="5">
        <f t="shared" si="178"/>
        <v>341</v>
      </c>
      <c r="C341" s="58" t="s">
        <v>242</v>
      </c>
      <c r="D341" s="58">
        <v>26621.23</v>
      </c>
      <c r="E341" s="14">
        <v>0</v>
      </c>
      <c r="F341" s="14">
        <f>D341+E341</f>
        <v>26621.23</v>
      </c>
      <c r="G341" s="17">
        <f>-F341</f>
        <v>-26621.23</v>
      </c>
      <c r="H341" s="14">
        <f t="shared" si="180"/>
        <v>0</v>
      </c>
      <c r="I341" s="14">
        <v>0</v>
      </c>
      <c r="J341" s="17">
        <f>SUM(H341:I341)</f>
        <v>0</v>
      </c>
    </row>
    <row r="342" spans="1:10" ht="10.5" customHeight="1" x14ac:dyDescent="0.2">
      <c r="A342" s="5">
        <f t="shared" si="178"/>
        <v>342</v>
      </c>
      <c r="C342" s="65" t="s">
        <v>243</v>
      </c>
      <c r="D342" s="58">
        <v>10425.900000000001</v>
      </c>
      <c r="E342" s="14">
        <v>0</v>
      </c>
      <c r="F342" s="14">
        <f t="shared" si="179"/>
        <v>10425.900000000001</v>
      </c>
      <c r="G342" s="17">
        <f>-D342</f>
        <v>-10425.900000000001</v>
      </c>
      <c r="H342" s="14">
        <f t="shared" si="180"/>
        <v>0</v>
      </c>
      <c r="I342" s="14">
        <v>0</v>
      </c>
      <c r="J342" s="17">
        <f t="shared" si="181"/>
        <v>0</v>
      </c>
    </row>
    <row r="343" spans="1:10" ht="10.5" customHeight="1" x14ac:dyDescent="0.2">
      <c r="A343" s="5">
        <f t="shared" si="178"/>
        <v>343</v>
      </c>
      <c r="C343" s="65" t="s">
        <v>244</v>
      </c>
      <c r="D343" s="58">
        <v>7230553.8799999999</v>
      </c>
      <c r="E343" s="14">
        <v>0</v>
      </c>
      <c r="F343" s="14">
        <f t="shared" si="179"/>
        <v>7230553.8799999999</v>
      </c>
      <c r="G343" s="17">
        <v>133719</v>
      </c>
      <c r="H343" s="14">
        <f t="shared" si="180"/>
        <v>7364272.8799999999</v>
      </c>
      <c r="I343" s="14">
        <v>0</v>
      </c>
      <c r="J343" s="17">
        <f t="shared" si="181"/>
        <v>7364272.8799999999</v>
      </c>
    </row>
    <row r="344" spans="1:10" ht="10.5" customHeight="1" x14ac:dyDescent="0.2">
      <c r="A344" s="5">
        <f t="shared" si="178"/>
        <v>344</v>
      </c>
      <c r="C344" s="58" t="s">
        <v>245</v>
      </c>
      <c r="D344" s="58">
        <v>1322508.8</v>
      </c>
      <c r="E344" s="14">
        <v>-439262</v>
      </c>
      <c r="F344" s="14">
        <f t="shared" si="179"/>
        <v>883246.8</v>
      </c>
      <c r="G344" s="17">
        <v>91606</v>
      </c>
      <c r="H344" s="14">
        <f t="shared" si="180"/>
        <v>974852.8</v>
      </c>
      <c r="I344" s="14">
        <v>0</v>
      </c>
      <c r="J344" s="17">
        <f t="shared" si="181"/>
        <v>974852.8</v>
      </c>
    </row>
    <row r="345" spans="1:10" ht="10.5" customHeight="1" x14ac:dyDescent="0.2">
      <c r="A345" s="5">
        <f t="shared" si="178"/>
        <v>345</v>
      </c>
      <c r="C345" s="65" t="s">
        <v>246</v>
      </c>
      <c r="D345" s="58">
        <v>22867051.84</v>
      </c>
      <c r="E345" s="14">
        <v>0</v>
      </c>
      <c r="F345" s="14">
        <f t="shared" si="179"/>
        <v>22867051.84</v>
      </c>
      <c r="G345" s="17">
        <v>-3811175.28</v>
      </c>
      <c r="H345" s="14">
        <f>G345+F345</f>
        <v>19055876.559999999</v>
      </c>
      <c r="I345" s="14">
        <v>0</v>
      </c>
      <c r="J345" s="17">
        <f t="shared" si="181"/>
        <v>19055876.559999999</v>
      </c>
    </row>
    <row r="346" spans="1:10" ht="10.5" customHeight="1" x14ac:dyDescent="0.2">
      <c r="A346" s="5">
        <f t="shared" si="178"/>
        <v>346</v>
      </c>
      <c r="C346" s="65" t="s">
        <v>247</v>
      </c>
      <c r="D346" s="58">
        <v>40349931.18</v>
      </c>
      <c r="E346" s="14">
        <v>0</v>
      </c>
      <c r="F346" s="14">
        <f>D346+E346</f>
        <v>40349931.18</v>
      </c>
      <c r="G346" s="17">
        <v>22519724.119999997</v>
      </c>
      <c r="H346" s="14">
        <f t="shared" si="180"/>
        <v>62869655.299999997</v>
      </c>
      <c r="I346" s="14">
        <v>0</v>
      </c>
      <c r="J346" s="17">
        <f>SUM(H346:I346)</f>
        <v>62869655.299999997</v>
      </c>
    </row>
    <row r="347" spans="1:10" ht="10.5" customHeight="1" x14ac:dyDescent="0.2">
      <c r="A347" s="5">
        <f t="shared" si="178"/>
        <v>347</v>
      </c>
      <c r="C347" s="65" t="s">
        <v>248</v>
      </c>
      <c r="D347" s="58">
        <v>635220.68000000005</v>
      </c>
      <c r="E347" s="14">
        <v>0</v>
      </c>
      <c r="F347" s="14">
        <f>D347+E347</f>
        <v>635220.68000000005</v>
      </c>
      <c r="G347" s="17">
        <v>386557.6</v>
      </c>
      <c r="H347" s="14">
        <f t="shared" si="180"/>
        <v>1021778.28</v>
      </c>
      <c r="I347" s="14">
        <v>0</v>
      </c>
      <c r="J347" s="17">
        <f>SUM(H347:I347)</f>
        <v>1021778.28</v>
      </c>
    </row>
    <row r="348" spans="1:10" ht="10.5" customHeight="1" x14ac:dyDescent="0.2">
      <c r="A348" s="5">
        <f t="shared" si="178"/>
        <v>348</v>
      </c>
      <c r="C348" s="65" t="s">
        <v>249</v>
      </c>
      <c r="D348" s="58">
        <v>51057.27</v>
      </c>
      <c r="E348" s="14">
        <v>0</v>
      </c>
      <c r="F348" s="14">
        <f t="shared" ref="F348:F352" si="182">D348+E348</f>
        <v>51057.27</v>
      </c>
      <c r="G348" s="17">
        <f>-F348</f>
        <v>-51057.27</v>
      </c>
      <c r="H348" s="14">
        <f t="shared" ref="H348:H352" si="183">G348+F348</f>
        <v>0</v>
      </c>
      <c r="I348" s="14">
        <v>0</v>
      </c>
      <c r="J348" s="17">
        <f t="shared" ref="J348:J352" si="184">SUM(H348:I348)</f>
        <v>0</v>
      </c>
    </row>
    <row r="349" spans="1:10" ht="10.5" customHeight="1" x14ac:dyDescent="0.2">
      <c r="A349" s="5">
        <f t="shared" si="178"/>
        <v>349</v>
      </c>
      <c r="C349" s="65" t="s">
        <v>250</v>
      </c>
      <c r="D349" s="58">
        <v>230036.89</v>
      </c>
      <c r="E349" s="14">
        <v>0</v>
      </c>
      <c r="F349" s="14">
        <f>D349+E349</f>
        <v>230036.89</v>
      </c>
      <c r="G349" s="17">
        <v>-38339.519999999997</v>
      </c>
      <c r="H349" s="14">
        <f t="shared" si="180"/>
        <v>191697.37000000002</v>
      </c>
      <c r="I349" s="14">
        <v>0</v>
      </c>
      <c r="J349" s="17">
        <f>SUM(H349:I349)</f>
        <v>191697.37000000002</v>
      </c>
    </row>
    <row r="350" spans="1:10" ht="10.5" customHeight="1" x14ac:dyDescent="0.2">
      <c r="A350" s="5">
        <f t="shared" si="178"/>
        <v>350</v>
      </c>
      <c r="C350" s="65" t="s">
        <v>251</v>
      </c>
      <c r="D350" s="58">
        <f>11563839+7749519</f>
        <v>19313358</v>
      </c>
      <c r="E350" s="14">
        <v>0</v>
      </c>
      <c r="F350" s="14">
        <f t="shared" si="182"/>
        <v>19313358</v>
      </c>
      <c r="G350" s="17">
        <f>-643866+-431488</f>
        <v>-1075354</v>
      </c>
      <c r="H350" s="14">
        <f t="shared" si="183"/>
        <v>18238004</v>
      </c>
      <c r="I350" s="14">
        <v>0</v>
      </c>
      <c r="J350" s="17">
        <f t="shared" si="184"/>
        <v>18238004</v>
      </c>
    </row>
    <row r="351" spans="1:10" ht="10.5" customHeight="1" x14ac:dyDescent="0.2">
      <c r="A351" s="5">
        <f t="shared" si="178"/>
        <v>351</v>
      </c>
      <c r="C351" s="65" t="s">
        <v>252</v>
      </c>
      <c r="D351" s="58">
        <f>432474+50456</f>
        <v>482930</v>
      </c>
      <c r="E351" s="14">
        <v>0</v>
      </c>
      <c r="F351" s="14">
        <f t="shared" si="182"/>
        <v>482930</v>
      </c>
      <c r="G351" s="17">
        <f>-39316+-44047</f>
        <v>-83363</v>
      </c>
      <c r="H351" s="14">
        <f t="shared" si="183"/>
        <v>399567</v>
      </c>
      <c r="I351" s="14">
        <v>0</v>
      </c>
      <c r="J351" s="17">
        <f t="shared" si="184"/>
        <v>399567</v>
      </c>
    </row>
    <row r="352" spans="1:10" ht="10.5" customHeight="1" x14ac:dyDescent="0.2">
      <c r="A352" s="5">
        <f t="shared" si="178"/>
        <v>352</v>
      </c>
      <c r="C352" s="65" t="s">
        <v>253</v>
      </c>
      <c r="D352" s="58">
        <v>749225.21</v>
      </c>
      <c r="E352" s="14">
        <v>0</v>
      </c>
      <c r="F352" s="14">
        <f t="shared" si="182"/>
        <v>749225.21</v>
      </c>
      <c r="G352" s="17">
        <v>0</v>
      </c>
      <c r="H352" s="14">
        <f t="shared" si="183"/>
        <v>749225.21</v>
      </c>
      <c r="I352" s="14">
        <v>0</v>
      </c>
      <c r="J352" s="17">
        <f t="shared" si="184"/>
        <v>749225.21</v>
      </c>
    </row>
    <row r="353" spans="1:10" ht="10.5" customHeight="1" x14ac:dyDescent="0.2">
      <c r="A353" s="5">
        <f t="shared" si="178"/>
        <v>353</v>
      </c>
      <c r="C353" s="14" t="s">
        <v>254</v>
      </c>
      <c r="D353" s="17">
        <f>SUM(D340:D352)</f>
        <v>93306371.219999999</v>
      </c>
      <c r="E353" s="17">
        <f>SUM(E340:E352)</f>
        <v>-439262</v>
      </c>
      <c r="F353" s="14">
        <f>D353+E353</f>
        <v>92867109.219999999</v>
      </c>
      <c r="G353" s="17">
        <f>H353-F353</f>
        <v>17997820.179999992</v>
      </c>
      <c r="H353" s="14">
        <f>SUM(H340:H352)</f>
        <v>110864929.39999999</v>
      </c>
      <c r="I353" s="14">
        <f>SUM(I340:I344)</f>
        <v>0</v>
      </c>
      <c r="J353" s="17">
        <f>SUM(H353:I353)</f>
        <v>110864929.39999999</v>
      </c>
    </row>
    <row r="354" spans="1:10" ht="10.5" customHeight="1" x14ac:dyDescent="0.2">
      <c r="A354" s="5">
        <f t="shared" si="178"/>
        <v>354</v>
      </c>
      <c r="B354" s="58" t="s">
        <v>255</v>
      </c>
      <c r="C354" s="17"/>
      <c r="D354" s="58">
        <v>0</v>
      </c>
      <c r="E354" s="14">
        <v>0</v>
      </c>
      <c r="F354" s="14">
        <f>D354+E354</f>
        <v>0</v>
      </c>
      <c r="G354" s="17">
        <v>0</v>
      </c>
      <c r="H354" s="14">
        <f>F354+G354</f>
        <v>0</v>
      </c>
      <c r="I354" s="14">
        <v>0</v>
      </c>
      <c r="J354" s="17">
        <f>SUM(H354:I354)</f>
        <v>0</v>
      </c>
    </row>
    <row r="355" spans="1:10" ht="10.5" customHeight="1" x14ac:dyDescent="0.2">
      <c r="A355" s="5">
        <f t="shared" si="178"/>
        <v>355</v>
      </c>
      <c r="B355" s="17" t="s">
        <v>256</v>
      </c>
      <c r="C355" s="17"/>
      <c r="D355" s="58">
        <v>-2526864</v>
      </c>
      <c r="E355" s="14">
        <v>0</v>
      </c>
      <c r="F355" s="14">
        <f>D355+E355</f>
        <v>-2526864</v>
      </c>
      <c r="G355" s="17">
        <v>0</v>
      </c>
      <c r="H355" s="14">
        <f>F355+G355</f>
        <v>-2526864</v>
      </c>
      <c r="I355" s="14">
        <v>0</v>
      </c>
      <c r="J355" s="17">
        <f>SUM(H355:I355)</f>
        <v>-2526864</v>
      </c>
    </row>
    <row r="356" spans="1:10" ht="10.5" customHeight="1" x14ac:dyDescent="0.2">
      <c r="A356" s="5">
        <f t="shared" si="178"/>
        <v>356</v>
      </c>
      <c r="B356" s="17"/>
      <c r="C356" s="17" t="s">
        <v>193</v>
      </c>
      <c r="D356" s="58">
        <v>0</v>
      </c>
      <c r="E356" s="14"/>
      <c r="F356" s="14">
        <f>D356+E356</f>
        <v>0</v>
      </c>
      <c r="G356" s="17">
        <v>0</v>
      </c>
      <c r="H356" s="14">
        <f>F356+G356</f>
        <v>0</v>
      </c>
      <c r="I356" s="14">
        <v>0</v>
      </c>
      <c r="J356" s="17">
        <f>SUM(H356:I356)</f>
        <v>0</v>
      </c>
    </row>
    <row r="357" spans="1:10" ht="10.5" customHeight="1" x14ac:dyDescent="0.2">
      <c r="A357" s="5">
        <f t="shared" si="178"/>
        <v>357</v>
      </c>
      <c r="C357" s="14" t="s">
        <v>257</v>
      </c>
      <c r="D357" s="17">
        <f>SUM(D338,D353,D354+D355+D356)</f>
        <v>90779507.219999999</v>
      </c>
      <c r="E357" s="17">
        <f>SUM(E338,E353,E354+E355)</f>
        <v>-439262</v>
      </c>
      <c r="F357" s="14">
        <f>D357+E357</f>
        <v>90340245.219999999</v>
      </c>
      <c r="G357" s="17">
        <f>H357-F357</f>
        <v>17997820.179999992</v>
      </c>
      <c r="H357" s="14">
        <f>SUM(H338,H353,H354,H355,H356)</f>
        <v>108338065.39999999</v>
      </c>
      <c r="I357" s="14">
        <f>SUM(I338,I353,I354)</f>
        <v>0</v>
      </c>
      <c r="J357" s="17">
        <f>SUM(H357:I357)</f>
        <v>108338065.39999999</v>
      </c>
    </row>
    <row r="358" spans="1:10" ht="10.5" customHeight="1" x14ac:dyDescent="0.2">
      <c r="A358" s="5">
        <f t="shared" si="178"/>
        <v>358</v>
      </c>
      <c r="B358" s="14" t="s">
        <v>41</v>
      </c>
      <c r="C358" s="14" t="s">
        <v>41</v>
      </c>
      <c r="D358" s="17"/>
      <c r="E358" s="14"/>
      <c r="G358" s="17"/>
      <c r="J358" s="17"/>
    </row>
    <row r="359" spans="1:10" ht="10.5" customHeight="1" x14ac:dyDescent="0.2">
      <c r="A359" s="5">
        <f t="shared" si="178"/>
        <v>359</v>
      </c>
      <c r="B359" s="14" t="s">
        <v>258</v>
      </c>
      <c r="D359" s="17"/>
      <c r="E359" s="14"/>
      <c r="G359" s="17">
        <f>H359-F359</f>
        <v>0</v>
      </c>
      <c r="J359" s="17"/>
    </row>
    <row r="360" spans="1:10" ht="10.5" customHeight="1" x14ac:dyDescent="0.2">
      <c r="A360" s="5">
        <f t="shared" si="178"/>
        <v>360</v>
      </c>
      <c r="B360" s="14" t="s">
        <v>41</v>
      </c>
      <c r="C360" s="14" t="s">
        <v>259</v>
      </c>
      <c r="D360" s="58">
        <v>23501861.996153738</v>
      </c>
      <c r="E360" s="14">
        <v>0</v>
      </c>
      <c r="F360" s="14">
        <f>D360+E360</f>
        <v>23501861.996153738</v>
      </c>
      <c r="G360" s="17">
        <v>2027644.2307692308</v>
      </c>
      <c r="H360" s="14">
        <f>G360+F360</f>
        <v>25529506.22692297</v>
      </c>
      <c r="I360" s="14">
        <v>0</v>
      </c>
      <c r="J360" s="14">
        <f>SUM(H360:I360)</f>
        <v>25529506.22692297</v>
      </c>
    </row>
    <row r="361" spans="1:10" ht="10.5" customHeight="1" x14ac:dyDescent="0.2">
      <c r="A361" s="5">
        <f t="shared" si="178"/>
        <v>361</v>
      </c>
      <c r="B361" s="14" t="s">
        <v>41</v>
      </c>
      <c r="C361" s="14" t="s">
        <v>260</v>
      </c>
      <c r="D361" s="58">
        <v>398685.90230769297</v>
      </c>
      <c r="E361" s="14">
        <v>0</v>
      </c>
      <c r="F361" s="14">
        <f>D361+E361</f>
        <v>398685.90230769297</v>
      </c>
      <c r="G361" s="17">
        <v>-260561.61538461538</v>
      </c>
      <c r="H361" s="14">
        <f>F361+G361</f>
        <v>138124.2869230776</v>
      </c>
      <c r="I361" s="14">
        <v>0</v>
      </c>
      <c r="J361" s="14">
        <f>SUM(H361:I361)</f>
        <v>138124.2869230776</v>
      </c>
    </row>
    <row r="362" spans="1:10" ht="10.5" customHeight="1" x14ac:dyDescent="0.2">
      <c r="A362" s="5">
        <f t="shared" si="178"/>
        <v>362</v>
      </c>
      <c r="B362" s="14" t="s">
        <v>41</v>
      </c>
      <c r="C362" s="14" t="s">
        <v>261</v>
      </c>
      <c r="D362" s="58">
        <v>12685612.503076924</v>
      </c>
      <c r="E362" s="14">
        <v>0</v>
      </c>
      <c r="F362" s="14">
        <f>D362+E362</f>
        <v>12685612.503076924</v>
      </c>
      <c r="G362" s="17">
        <v>2795569.3846153845</v>
      </c>
      <c r="H362" s="14">
        <f>F362+G362</f>
        <v>15481181.887692308</v>
      </c>
      <c r="I362" s="14">
        <v>0</v>
      </c>
      <c r="J362" s="14">
        <f>SUM(H362:I362)</f>
        <v>15481181.887692308</v>
      </c>
    </row>
    <row r="363" spans="1:10" ht="10.5" customHeight="1" x14ac:dyDescent="0.2">
      <c r="A363" s="5">
        <f t="shared" si="178"/>
        <v>363</v>
      </c>
      <c r="B363" s="14" t="s">
        <v>66</v>
      </c>
      <c r="C363" s="14" t="s">
        <v>262</v>
      </c>
      <c r="D363" s="14">
        <f>SUM(D360:D362)</f>
        <v>36586160.401538357</v>
      </c>
      <c r="E363" s="14">
        <f>SUM(E360:E362)</f>
        <v>0</v>
      </c>
      <c r="F363" s="14">
        <f>D363+E363</f>
        <v>36586160.401538357</v>
      </c>
      <c r="G363" s="17">
        <f>H363-F363</f>
        <v>4562652</v>
      </c>
      <c r="H363" s="14">
        <f>SUM(H360:H362)</f>
        <v>41148812.401538357</v>
      </c>
      <c r="I363" s="14">
        <f>SUM(I360:I362)</f>
        <v>0</v>
      </c>
      <c r="J363" s="14">
        <f>SUM(H363:I363)</f>
        <v>41148812.401538357</v>
      </c>
    </row>
    <row r="364" spans="1:10" ht="10.5" customHeight="1" x14ac:dyDescent="0.2">
      <c r="A364" s="5">
        <f t="shared" si="178"/>
        <v>364</v>
      </c>
      <c r="B364" s="14" t="s">
        <v>66</v>
      </c>
      <c r="C364" s="14" t="s">
        <v>66</v>
      </c>
      <c r="E364" s="14"/>
      <c r="G364" s="17">
        <f>H364-D364</f>
        <v>0</v>
      </c>
      <c r="J364" s="14"/>
    </row>
    <row r="365" spans="1:10" ht="10.5" customHeight="1" x14ac:dyDescent="0.2">
      <c r="A365" s="5">
        <f t="shared" si="178"/>
        <v>365</v>
      </c>
      <c r="B365" s="14" t="s">
        <v>66</v>
      </c>
      <c r="C365" s="14" t="s">
        <v>20</v>
      </c>
      <c r="D365" s="14">
        <f>SUM(D317,D330,D332,D357,D363)</f>
        <v>4635208608.9903059</v>
      </c>
      <c r="E365" s="14">
        <f>SUM(E317,E330,E332,E357,E363)</f>
        <v>-179072636.92615399</v>
      </c>
      <c r="F365" s="14">
        <f>D365+E365</f>
        <v>4456135972.0641518</v>
      </c>
      <c r="G365" s="17">
        <f>H365-F365</f>
        <v>705103402.18576717</v>
      </c>
      <c r="H365" s="14">
        <f>SUM(H317,H330,H332,H357,H363)</f>
        <v>5161239374.2499189</v>
      </c>
      <c r="I365" s="14">
        <f>I317+I330+I332+I357+I363</f>
        <v>210213537.44559786</v>
      </c>
      <c r="J365" s="14">
        <f>SUM(H365:I365)</f>
        <v>5371452911.6955166</v>
      </c>
    </row>
    <row r="366" spans="1:10" ht="10.5" customHeight="1" x14ac:dyDescent="0.2">
      <c r="A366" s="5">
        <f t="shared" si="178"/>
        <v>366</v>
      </c>
      <c r="B366" s="13" t="s">
        <v>263</v>
      </c>
      <c r="E366" s="14"/>
      <c r="J366" s="14"/>
    </row>
    <row r="367" spans="1:10" ht="10.5" customHeight="1" x14ac:dyDescent="0.2">
      <c r="A367" s="5">
        <f t="shared" si="178"/>
        <v>367</v>
      </c>
      <c r="B367" s="30" t="s">
        <v>264</v>
      </c>
      <c r="C367" s="30"/>
      <c r="E367" s="14"/>
      <c r="J367" s="14"/>
    </row>
    <row r="368" spans="1:10" ht="10.5" customHeight="1" x14ac:dyDescent="0.2">
      <c r="A368" s="5">
        <f t="shared" si="178"/>
        <v>368</v>
      </c>
      <c r="B368" s="66" t="s">
        <v>265</v>
      </c>
      <c r="C368" s="30"/>
      <c r="D368" s="58">
        <v>1552780508.3099999</v>
      </c>
      <c r="E368" s="14">
        <f t="shared" ref="E368:E373" si="185">F368-D368</f>
        <v>-137231603.30999994</v>
      </c>
      <c r="F368" s="14">
        <v>1415548905</v>
      </c>
      <c r="G368" s="14">
        <f>(1536188305.63)-F368</f>
        <v>120639400.63000011</v>
      </c>
      <c r="H368" s="14">
        <f>SUM(F368:G368)</f>
        <v>1536188305.6300001</v>
      </c>
      <c r="I368" s="14">
        <v>0</v>
      </c>
      <c r="J368" s="14">
        <f>SUM(H368:I368)</f>
        <v>1536188305.6300001</v>
      </c>
    </row>
    <row r="369" spans="1:10" ht="10.5" customHeight="1" x14ac:dyDescent="0.2">
      <c r="A369" s="5">
        <f t="shared" si="178"/>
        <v>369</v>
      </c>
      <c r="B369" s="66" t="s">
        <v>266</v>
      </c>
      <c r="C369" s="30"/>
      <c r="D369" s="58">
        <v>0</v>
      </c>
      <c r="E369" s="14">
        <f t="shared" si="185"/>
        <v>0</v>
      </c>
      <c r="F369" s="14">
        <v>0</v>
      </c>
      <c r="G369" s="14">
        <v>46781308.076019876</v>
      </c>
      <c r="H369" s="14">
        <f>SUM(F369:G369)</f>
        <v>46781308.076019876</v>
      </c>
      <c r="I369" s="14">
        <v>0</v>
      </c>
      <c r="J369" s="14">
        <f>SUM(H369:I369)</f>
        <v>46781308.076019876</v>
      </c>
    </row>
    <row r="370" spans="1:10" ht="10.5" customHeight="1" x14ac:dyDescent="0.2">
      <c r="A370" s="5">
        <f t="shared" si="178"/>
        <v>370</v>
      </c>
      <c r="B370" s="66" t="s">
        <v>267</v>
      </c>
      <c r="C370" s="30"/>
      <c r="D370" s="58">
        <v>0</v>
      </c>
      <c r="E370" s="14">
        <f t="shared" si="185"/>
        <v>0</v>
      </c>
      <c r="F370" s="14">
        <v>0</v>
      </c>
      <c r="G370" s="14">
        <v>0</v>
      </c>
      <c r="H370" s="14">
        <f>SUM(F370:G370)</f>
        <v>0</v>
      </c>
      <c r="I370" s="14">
        <v>0</v>
      </c>
      <c r="J370" s="14">
        <f>SUM(H370:I370)</f>
        <v>0</v>
      </c>
    </row>
    <row r="371" spans="1:10" ht="10.5" customHeight="1" x14ac:dyDescent="0.2">
      <c r="A371" s="5">
        <f t="shared" si="178"/>
        <v>371</v>
      </c>
      <c r="B371" s="66" t="s">
        <v>268</v>
      </c>
      <c r="C371" s="30"/>
      <c r="D371" s="58">
        <v>142669957.70000002</v>
      </c>
      <c r="E371" s="14">
        <f t="shared" si="185"/>
        <v>-107983607.70000002</v>
      </c>
      <c r="F371" s="14">
        <v>34686350</v>
      </c>
      <c r="G371" s="14">
        <f>89321927.33-F371</f>
        <v>54635577.329999998</v>
      </c>
      <c r="H371" s="14">
        <f>SUM(F371:G371)</f>
        <v>89321927.329999998</v>
      </c>
      <c r="I371" s="14">
        <v>0</v>
      </c>
      <c r="J371" s="14">
        <f>SUM(H371:I371)</f>
        <v>89321927.329999998</v>
      </c>
    </row>
    <row r="372" spans="1:10" ht="10.5" customHeight="1" x14ac:dyDescent="0.2">
      <c r="A372" s="5">
        <f t="shared" si="178"/>
        <v>372</v>
      </c>
      <c r="B372" s="66" t="s">
        <v>269</v>
      </c>
      <c r="C372" s="30"/>
      <c r="D372" s="58">
        <v>0</v>
      </c>
      <c r="E372" s="14">
        <f t="shared" si="185"/>
        <v>0</v>
      </c>
      <c r="F372" s="14">
        <v>0</v>
      </c>
      <c r="G372" s="14">
        <v>11798094.9569785</v>
      </c>
      <c r="H372" s="14">
        <f>SUM(F372:G372)</f>
        <v>11798094.9569785</v>
      </c>
      <c r="I372" s="14">
        <v>0</v>
      </c>
      <c r="J372" s="14">
        <f>SUM(H372:I372)</f>
        <v>11798094.9569785</v>
      </c>
    </row>
    <row r="373" spans="1:10" ht="10.5" customHeight="1" x14ac:dyDescent="0.2">
      <c r="A373" s="5">
        <f t="shared" si="178"/>
        <v>373</v>
      </c>
      <c r="B373" s="30" t="s">
        <v>66</v>
      </c>
      <c r="C373" s="66" t="s">
        <v>270</v>
      </c>
      <c r="D373" s="14">
        <f>SUM(D368:D372)</f>
        <v>1695450466.01</v>
      </c>
      <c r="E373" s="14">
        <f t="shared" si="185"/>
        <v>-245215211.00999999</v>
      </c>
      <c r="F373" s="14">
        <f>SUM(F368:F372)</f>
        <v>1450235255</v>
      </c>
      <c r="G373" s="14">
        <f>SUM(G368:G372)</f>
        <v>233854380.99299848</v>
      </c>
      <c r="H373" s="14">
        <f>SUM(H368:H372)</f>
        <v>1684089635.9929984</v>
      </c>
      <c r="I373" s="14">
        <f>SUM(I368:I372)</f>
        <v>0</v>
      </c>
      <c r="J373" s="14">
        <f>SUM(J368:J372)</f>
        <v>1684089635.9929984</v>
      </c>
    </row>
    <row r="374" spans="1:10" ht="10.5" customHeight="1" x14ac:dyDescent="0.2">
      <c r="A374" s="5">
        <f t="shared" si="178"/>
        <v>374</v>
      </c>
      <c r="B374" s="30" t="s">
        <v>66</v>
      </c>
      <c r="C374" s="30" t="s">
        <v>66</v>
      </c>
      <c r="E374" s="14"/>
      <c r="J374" s="14"/>
    </row>
    <row r="375" spans="1:10" ht="10.5" customHeight="1" x14ac:dyDescent="0.2">
      <c r="A375" s="5">
        <f t="shared" si="178"/>
        <v>375</v>
      </c>
      <c r="B375" s="30" t="s">
        <v>25</v>
      </c>
      <c r="C375" s="30"/>
      <c r="E375" s="14"/>
      <c r="J375" s="14"/>
    </row>
    <row r="376" spans="1:10" ht="10.5" customHeight="1" x14ac:dyDescent="0.2">
      <c r="A376" s="5">
        <f t="shared" si="178"/>
        <v>376</v>
      </c>
      <c r="B376" s="67" t="s">
        <v>271</v>
      </c>
      <c r="C376" s="30"/>
      <c r="D376" s="14">
        <v>4376138</v>
      </c>
      <c r="E376" s="14">
        <v>0</v>
      </c>
      <c r="F376" s="14">
        <f>D376+E376</f>
        <v>4376138</v>
      </c>
      <c r="G376" s="14">
        <v>119403</v>
      </c>
      <c r="H376" s="14">
        <f>SUM(F376:G376)</f>
        <v>4495541</v>
      </c>
      <c r="I376" s="14">
        <v>0</v>
      </c>
      <c r="J376" s="14">
        <f>SUM(H376:I376)</f>
        <v>4495541</v>
      </c>
    </row>
    <row r="377" spans="1:10" ht="10.5" customHeight="1" x14ac:dyDescent="0.2">
      <c r="A377" s="5">
        <f t="shared" si="178"/>
        <v>377</v>
      </c>
      <c r="B377" s="66"/>
      <c r="C377" s="30"/>
      <c r="E377" s="14"/>
      <c r="J377" s="14"/>
    </row>
    <row r="378" spans="1:10" ht="10.5" customHeight="1" x14ac:dyDescent="0.2">
      <c r="A378" s="5">
        <f t="shared" si="178"/>
        <v>378</v>
      </c>
      <c r="B378" s="66" t="s">
        <v>272</v>
      </c>
      <c r="C378" s="30"/>
      <c r="E378" s="14"/>
      <c r="J378" s="14"/>
    </row>
    <row r="379" spans="1:10" ht="10.5" customHeight="1" x14ac:dyDescent="0.2">
      <c r="A379" s="5">
        <f t="shared" si="178"/>
        <v>379</v>
      </c>
      <c r="B379" s="66"/>
      <c r="C379" s="17" t="s">
        <v>273</v>
      </c>
      <c r="D379" s="59">
        <v>0</v>
      </c>
      <c r="E379" s="14">
        <f>-D379</f>
        <v>0</v>
      </c>
      <c r="F379" s="14">
        <f>D379+E379</f>
        <v>0</v>
      </c>
      <c r="G379" s="14">
        <v>0</v>
      </c>
      <c r="H379" s="14">
        <f t="shared" ref="H379:H380" si="186">SUM(F379:G379)</f>
        <v>0</v>
      </c>
      <c r="I379" s="14">
        <v>0</v>
      </c>
      <c r="J379" s="14">
        <f>SUM(H379:I379)</f>
        <v>0</v>
      </c>
    </row>
    <row r="380" spans="1:10" ht="10.5" customHeight="1" x14ac:dyDescent="0.2">
      <c r="A380" s="5">
        <f t="shared" si="178"/>
        <v>380</v>
      </c>
      <c r="B380" s="66" t="s">
        <v>274</v>
      </c>
      <c r="C380" s="17" t="s">
        <v>275</v>
      </c>
      <c r="D380" s="59">
        <v>0</v>
      </c>
      <c r="E380" s="14">
        <f>-D380</f>
        <v>0</v>
      </c>
      <c r="F380" s="14">
        <f>D380+E380</f>
        <v>0</v>
      </c>
      <c r="G380" s="14">
        <v>0</v>
      </c>
      <c r="H380" s="14">
        <f t="shared" si="186"/>
        <v>0</v>
      </c>
      <c r="I380" s="14">
        <v>0</v>
      </c>
      <c r="J380" s="14">
        <f>SUM(H380:I380)</f>
        <v>0</v>
      </c>
    </row>
    <row r="381" spans="1:10" ht="10.5" customHeight="1" x14ac:dyDescent="0.2">
      <c r="A381" s="5">
        <f t="shared" si="178"/>
        <v>381</v>
      </c>
      <c r="B381" s="66"/>
      <c r="C381" s="62" t="s">
        <v>276</v>
      </c>
      <c r="D381" s="14">
        <f>SUM(D379:D380)</f>
        <v>0</v>
      </c>
      <c r="E381" s="14">
        <f>-D381</f>
        <v>0</v>
      </c>
      <c r="F381" s="14">
        <f>D381+E381</f>
        <v>0</v>
      </c>
      <c r="G381" s="14">
        <v>0</v>
      </c>
      <c r="H381" s="14">
        <v>0</v>
      </c>
      <c r="I381" s="14">
        <v>0</v>
      </c>
      <c r="J381" s="14">
        <f>SUM(H381:I381)</f>
        <v>0</v>
      </c>
    </row>
    <row r="382" spans="1:10" ht="10.5" customHeight="1" x14ac:dyDescent="0.2">
      <c r="A382" s="5">
        <f t="shared" si="178"/>
        <v>382</v>
      </c>
      <c r="B382" s="66"/>
      <c r="C382" s="62"/>
      <c r="E382" s="14"/>
      <c r="J382" s="14"/>
    </row>
    <row r="383" spans="1:10" ht="10.5" customHeight="1" x14ac:dyDescent="0.2">
      <c r="A383" s="5">
        <f t="shared" si="178"/>
        <v>383</v>
      </c>
      <c r="B383" s="66" t="s">
        <v>277</v>
      </c>
      <c r="C383" s="30"/>
      <c r="D383" s="58">
        <v>6838793.0300000003</v>
      </c>
      <c r="E383" s="14">
        <v>0</v>
      </c>
      <c r="F383" s="14">
        <f>D383+E383</f>
        <v>6838793.0300000003</v>
      </c>
      <c r="G383" s="14">
        <v>0</v>
      </c>
      <c r="H383" s="14">
        <f>SUM(F383:G383)</f>
        <v>6838793.0300000003</v>
      </c>
      <c r="I383" s="14">
        <v>0</v>
      </c>
      <c r="J383" s="14">
        <f>SUM(H383:I383)</f>
        <v>6838793.0300000003</v>
      </c>
    </row>
    <row r="384" spans="1:10" ht="10.5" customHeight="1" x14ac:dyDescent="0.2">
      <c r="A384" s="5">
        <f t="shared" si="178"/>
        <v>384</v>
      </c>
      <c r="B384" s="66" t="s">
        <v>41</v>
      </c>
      <c r="C384" s="30"/>
      <c r="E384" s="14"/>
      <c r="H384" s="14">
        <f t="shared" ref="H384:H394" si="187">SUM(F384:G384)</f>
        <v>0</v>
      </c>
      <c r="J384" s="14"/>
    </row>
    <row r="385" spans="1:10" ht="10.5" customHeight="1" x14ac:dyDescent="0.2">
      <c r="A385" s="5">
        <f t="shared" si="178"/>
        <v>385</v>
      </c>
      <c r="B385" s="66" t="s">
        <v>278</v>
      </c>
      <c r="C385" s="30"/>
      <c r="E385" s="14"/>
      <c r="H385" s="14">
        <f t="shared" si="187"/>
        <v>0</v>
      </c>
      <c r="J385" s="14"/>
    </row>
    <row r="386" spans="1:10" ht="10.5" customHeight="1" x14ac:dyDescent="0.2">
      <c r="A386" s="5">
        <f t="shared" si="178"/>
        <v>386</v>
      </c>
      <c r="B386" s="62"/>
      <c r="C386" s="17" t="s">
        <v>279</v>
      </c>
      <c r="D386" s="58">
        <v>3195122</v>
      </c>
      <c r="E386" s="14">
        <v>0</v>
      </c>
      <c r="F386" s="14">
        <f t="shared" ref="F386:F395" si="188">D386+E386</f>
        <v>3195122</v>
      </c>
      <c r="G386" s="14">
        <v>0</v>
      </c>
      <c r="H386" s="14">
        <f t="shared" si="187"/>
        <v>3195122</v>
      </c>
      <c r="I386" s="14">
        <v>0</v>
      </c>
      <c r="J386" s="14">
        <f t="shared" ref="J386:J395" si="189">SUM(H386:I386)</f>
        <v>3195122</v>
      </c>
    </row>
    <row r="387" spans="1:10" ht="10.5" customHeight="1" x14ac:dyDescent="0.2">
      <c r="A387" s="5">
        <f t="shared" si="178"/>
        <v>387</v>
      </c>
      <c r="B387" s="62"/>
      <c r="C387" s="17" t="s">
        <v>280</v>
      </c>
      <c r="D387" s="58">
        <v>17330</v>
      </c>
      <c r="E387" s="14">
        <v>0</v>
      </c>
      <c r="F387" s="14">
        <f t="shared" si="188"/>
        <v>17330</v>
      </c>
      <c r="G387" s="14">
        <v>0</v>
      </c>
      <c r="H387" s="14">
        <f t="shared" si="187"/>
        <v>17330</v>
      </c>
      <c r="I387" s="14">
        <v>0</v>
      </c>
      <c r="J387" s="14">
        <f t="shared" si="189"/>
        <v>17330</v>
      </c>
    </row>
    <row r="388" spans="1:10" ht="10.5" customHeight="1" x14ac:dyDescent="0.2">
      <c r="A388" s="5">
        <f t="shared" si="178"/>
        <v>388</v>
      </c>
      <c r="B388" s="62"/>
      <c r="C388" s="17" t="s">
        <v>281</v>
      </c>
      <c r="D388" s="58">
        <v>0</v>
      </c>
      <c r="E388" s="14">
        <v>0</v>
      </c>
      <c r="F388" s="14">
        <f t="shared" si="188"/>
        <v>0</v>
      </c>
      <c r="G388" s="14">
        <v>0</v>
      </c>
      <c r="H388" s="14">
        <f t="shared" si="187"/>
        <v>0</v>
      </c>
      <c r="I388" s="14">
        <v>0</v>
      </c>
      <c r="J388" s="14">
        <f t="shared" si="189"/>
        <v>0</v>
      </c>
    </row>
    <row r="389" spans="1:10" ht="10.5" customHeight="1" x14ac:dyDescent="0.2">
      <c r="A389" s="5">
        <f t="shared" si="178"/>
        <v>389</v>
      </c>
      <c r="B389" s="62"/>
      <c r="C389" s="17" t="s">
        <v>282</v>
      </c>
      <c r="D389" s="58">
        <v>1975073.58</v>
      </c>
      <c r="E389" s="14">
        <v>0</v>
      </c>
      <c r="F389" s="14">
        <f t="shared" si="188"/>
        <v>1975073.58</v>
      </c>
      <c r="G389" s="14">
        <v>4824</v>
      </c>
      <c r="H389" s="14">
        <f t="shared" si="187"/>
        <v>1979897.58</v>
      </c>
      <c r="I389" s="14">
        <v>0</v>
      </c>
      <c r="J389" s="14">
        <f t="shared" si="189"/>
        <v>1979897.58</v>
      </c>
    </row>
    <row r="390" spans="1:10" ht="10.5" customHeight="1" x14ac:dyDescent="0.2">
      <c r="A390" s="5">
        <f t="shared" si="178"/>
        <v>390</v>
      </c>
      <c r="B390" s="62"/>
      <c r="C390" s="17" t="s">
        <v>283</v>
      </c>
      <c r="D390" s="58">
        <v>0</v>
      </c>
      <c r="E390" s="14">
        <v>0</v>
      </c>
      <c r="F390" s="14">
        <f t="shared" si="188"/>
        <v>0</v>
      </c>
      <c r="G390" s="14">
        <v>0</v>
      </c>
      <c r="H390" s="14">
        <f t="shared" si="187"/>
        <v>0</v>
      </c>
      <c r="I390" s="14">
        <v>0</v>
      </c>
      <c r="J390" s="14">
        <f t="shared" si="189"/>
        <v>0</v>
      </c>
    </row>
    <row r="391" spans="1:10" ht="10.5" customHeight="1" x14ac:dyDescent="0.2">
      <c r="A391" s="5">
        <f t="shared" si="178"/>
        <v>391</v>
      </c>
      <c r="B391" s="62"/>
      <c r="C391" s="17" t="s">
        <v>284</v>
      </c>
      <c r="D391" s="58">
        <v>1800552.0999999999</v>
      </c>
      <c r="E391" s="14">
        <v>0</v>
      </c>
      <c r="F391" s="14">
        <f t="shared" si="188"/>
        <v>1800552.0999999999</v>
      </c>
      <c r="G391" s="14">
        <v>0</v>
      </c>
      <c r="H391" s="14">
        <f t="shared" si="187"/>
        <v>1800552.0999999999</v>
      </c>
      <c r="I391" s="14">
        <v>0</v>
      </c>
      <c r="J391" s="14">
        <f t="shared" si="189"/>
        <v>1800552.0999999999</v>
      </c>
    </row>
    <row r="392" spans="1:10" ht="10.5" customHeight="1" x14ac:dyDescent="0.2">
      <c r="A392" s="5">
        <f t="shared" ref="A392:A455" si="190">A391+1</f>
        <v>392</v>
      </c>
      <c r="B392" s="62"/>
      <c r="C392" s="17" t="s">
        <v>285</v>
      </c>
      <c r="D392" s="58">
        <v>11032793.030000001</v>
      </c>
      <c r="E392" s="14">
        <v>0</v>
      </c>
      <c r="F392" s="14">
        <f>D392+E392</f>
        <v>11032793.030000001</v>
      </c>
      <c r="G392" s="14">
        <v>545415</v>
      </c>
      <c r="H392" s="14">
        <f t="shared" si="187"/>
        <v>11578208.030000001</v>
      </c>
      <c r="I392" s="14">
        <v>0</v>
      </c>
      <c r="J392" s="14">
        <f t="shared" si="189"/>
        <v>11578208.030000001</v>
      </c>
    </row>
    <row r="393" spans="1:10" ht="10.5" customHeight="1" x14ac:dyDescent="0.2">
      <c r="A393" s="5">
        <f t="shared" si="190"/>
        <v>393</v>
      </c>
      <c r="B393" s="62"/>
      <c r="C393" s="17" t="s">
        <v>286</v>
      </c>
      <c r="D393" s="58">
        <v>1355385</v>
      </c>
      <c r="E393" s="14">
        <v>0</v>
      </c>
      <c r="F393" s="14">
        <f t="shared" si="188"/>
        <v>1355385</v>
      </c>
      <c r="G393" s="14">
        <v>0</v>
      </c>
      <c r="H393" s="14">
        <f t="shared" si="187"/>
        <v>1355385</v>
      </c>
      <c r="I393" s="14">
        <v>0</v>
      </c>
      <c r="J393" s="14">
        <f t="shared" si="189"/>
        <v>1355385</v>
      </c>
    </row>
    <row r="394" spans="1:10" ht="10.5" customHeight="1" x14ac:dyDescent="0.2">
      <c r="A394" s="5">
        <f t="shared" si="190"/>
        <v>394</v>
      </c>
      <c r="B394" s="62"/>
      <c r="C394" s="17" t="s">
        <v>287</v>
      </c>
      <c r="D394" s="58">
        <v>96110.38</v>
      </c>
      <c r="E394" s="14">
        <v>0</v>
      </c>
      <c r="F394" s="14">
        <f t="shared" si="188"/>
        <v>96110.38</v>
      </c>
      <c r="G394" s="14">
        <v>-8745</v>
      </c>
      <c r="H394" s="14">
        <f t="shared" si="187"/>
        <v>87365.38</v>
      </c>
      <c r="I394" s="14">
        <v>0</v>
      </c>
      <c r="J394" s="14">
        <f t="shared" si="189"/>
        <v>87365.38</v>
      </c>
    </row>
    <row r="395" spans="1:10" ht="10.5" customHeight="1" x14ac:dyDescent="0.2">
      <c r="A395" s="5">
        <f t="shared" si="190"/>
        <v>395</v>
      </c>
      <c r="B395" s="30"/>
      <c r="C395" s="62" t="s">
        <v>288</v>
      </c>
      <c r="D395" s="14">
        <f>SUM(D386:D394)</f>
        <v>19472366.09</v>
      </c>
      <c r="E395" s="14">
        <f>SUM(E386:E394)</f>
        <v>0</v>
      </c>
      <c r="F395" s="14">
        <f t="shared" si="188"/>
        <v>19472366.09</v>
      </c>
      <c r="G395" s="14">
        <f>SUM(G386:G394)</f>
        <v>541494</v>
      </c>
      <c r="H395" s="14">
        <f>SUM(H386:H394)</f>
        <v>20013860.09</v>
      </c>
      <c r="I395" s="14">
        <f>SUM(I386:I394)</f>
        <v>0</v>
      </c>
      <c r="J395" s="14">
        <f t="shared" si="189"/>
        <v>20013860.09</v>
      </c>
    </row>
    <row r="396" spans="1:10" ht="10.5" customHeight="1" x14ac:dyDescent="0.2">
      <c r="A396" s="5">
        <f t="shared" si="190"/>
        <v>396</v>
      </c>
      <c r="B396" s="30"/>
      <c r="C396" s="30"/>
      <c r="E396" s="14"/>
      <c r="J396" s="14"/>
    </row>
    <row r="397" spans="1:10" ht="10.5" customHeight="1" x14ac:dyDescent="0.2">
      <c r="A397" s="5">
        <f t="shared" si="190"/>
        <v>397</v>
      </c>
      <c r="B397" s="66" t="s">
        <v>289</v>
      </c>
      <c r="C397" s="30"/>
      <c r="E397" s="14"/>
      <c r="J397" s="14"/>
    </row>
    <row r="398" spans="1:10" ht="10.5" customHeight="1" x14ac:dyDescent="0.2">
      <c r="A398" s="5">
        <f t="shared" si="190"/>
        <v>398</v>
      </c>
      <c r="B398" s="62"/>
      <c r="C398" s="59" t="s">
        <v>290</v>
      </c>
      <c r="D398" s="58">
        <v>10771228.23</v>
      </c>
      <c r="E398" s="14">
        <v>0</v>
      </c>
      <c r="F398" s="14">
        <f t="shared" ref="F398:F407" si="191">D398+E398</f>
        <v>10771228.23</v>
      </c>
      <c r="G398" s="14">
        <v>275765</v>
      </c>
      <c r="H398" s="14">
        <f t="shared" ref="H398:H406" si="192">SUM(F398:G398)</f>
        <v>11046993.23</v>
      </c>
      <c r="I398" s="14">
        <v>0</v>
      </c>
      <c r="J398" s="14">
        <f t="shared" ref="J398:J407" si="193">SUM(H398:I398)</f>
        <v>11046993.23</v>
      </c>
    </row>
    <row r="399" spans="1:10" ht="10.5" customHeight="1" x14ac:dyDescent="0.2">
      <c r="A399" s="5">
        <f t="shared" si="190"/>
        <v>399</v>
      </c>
      <c r="B399" s="62"/>
      <c r="C399" s="59" t="s">
        <v>291</v>
      </c>
      <c r="D399" s="58">
        <v>716545</v>
      </c>
      <c r="E399" s="14">
        <v>0</v>
      </c>
      <c r="F399" s="14">
        <f t="shared" si="191"/>
        <v>716545</v>
      </c>
      <c r="G399" s="14">
        <v>0</v>
      </c>
      <c r="H399" s="14">
        <f t="shared" si="192"/>
        <v>716545</v>
      </c>
      <c r="I399" s="14">
        <v>0</v>
      </c>
      <c r="J399" s="14">
        <f t="shared" si="193"/>
        <v>716545</v>
      </c>
    </row>
    <row r="400" spans="1:10" ht="10.5" customHeight="1" x14ac:dyDescent="0.2">
      <c r="A400" s="5">
        <f t="shared" si="190"/>
        <v>400</v>
      </c>
      <c r="B400" s="62"/>
      <c r="C400" s="59" t="s">
        <v>292</v>
      </c>
      <c r="D400" s="58">
        <v>55863562.023259997</v>
      </c>
      <c r="E400" s="14">
        <v>0</v>
      </c>
      <c r="F400" s="14">
        <f t="shared" si="191"/>
        <v>55863562.023259997</v>
      </c>
      <c r="G400" s="14">
        <v>-1444646</v>
      </c>
      <c r="H400" s="14">
        <f t="shared" si="192"/>
        <v>54418916.023259997</v>
      </c>
      <c r="I400" s="14">
        <v>0</v>
      </c>
      <c r="J400" s="14">
        <f t="shared" si="193"/>
        <v>54418916.023259997</v>
      </c>
    </row>
    <row r="401" spans="1:10" ht="10.5" customHeight="1" x14ac:dyDescent="0.2">
      <c r="A401" s="5">
        <f t="shared" si="190"/>
        <v>401</v>
      </c>
      <c r="B401" s="62"/>
      <c r="C401" s="68" t="s">
        <v>293</v>
      </c>
      <c r="D401" s="59">
        <v>0</v>
      </c>
      <c r="E401" s="14">
        <v>0</v>
      </c>
      <c r="F401" s="14">
        <f t="shared" si="191"/>
        <v>0</v>
      </c>
      <c r="G401" s="14">
        <v>0</v>
      </c>
      <c r="H401" s="14">
        <f t="shared" si="192"/>
        <v>0</v>
      </c>
      <c r="I401" s="14">
        <v>0</v>
      </c>
      <c r="J401" s="14">
        <f t="shared" si="193"/>
        <v>0</v>
      </c>
    </row>
    <row r="402" spans="1:10" ht="10.5" customHeight="1" x14ac:dyDescent="0.2">
      <c r="A402" s="5">
        <f t="shared" si="190"/>
        <v>402</v>
      </c>
      <c r="B402" s="62"/>
      <c r="C402" s="68" t="s">
        <v>294</v>
      </c>
      <c r="D402" s="58">
        <v>27580701.400000002</v>
      </c>
      <c r="E402" s="14">
        <f>-D402</f>
        <v>-27580701.400000002</v>
      </c>
      <c r="F402" s="14">
        <f t="shared" si="191"/>
        <v>0</v>
      </c>
      <c r="G402" s="14">
        <v>0</v>
      </c>
      <c r="H402" s="14">
        <f t="shared" si="192"/>
        <v>0</v>
      </c>
      <c r="I402" s="14">
        <v>0</v>
      </c>
      <c r="J402" s="14">
        <f t="shared" si="193"/>
        <v>0</v>
      </c>
    </row>
    <row r="403" spans="1:10" ht="10.5" customHeight="1" x14ac:dyDescent="0.2">
      <c r="A403" s="5">
        <f t="shared" si="190"/>
        <v>403</v>
      </c>
      <c r="B403" s="62"/>
      <c r="C403" s="68" t="s">
        <v>295</v>
      </c>
      <c r="D403" s="58">
        <v>1158065.23</v>
      </c>
      <c r="E403" s="14">
        <v>0</v>
      </c>
      <c r="F403" s="14">
        <f t="shared" si="191"/>
        <v>1158065.23</v>
      </c>
      <c r="G403" s="14">
        <v>0</v>
      </c>
      <c r="H403" s="14">
        <f t="shared" si="192"/>
        <v>1158065.23</v>
      </c>
      <c r="I403" s="14">
        <v>0</v>
      </c>
      <c r="J403" s="14">
        <f t="shared" si="193"/>
        <v>1158065.23</v>
      </c>
    </row>
    <row r="404" spans="1:10" ht="10.5" customHeight="1" x14ac:dyDescent="0.2">
      <c r="A404" s="5">
        <f t="shared" si="190"/>
        <v>404</v>
      </c>
      <c r="B404" s="62"/>
      <c r="C404" s="68" t="s">
        <v>296</v>
      </c>
      <c r="D404" s="58">
        <v>735704.96</v>
      </c>
      <c r="E404" s="14">
        <v>0</v>
      </c>
      <c r="F404" s="14">
        <f t="shared" si="191"/>
        <v>735704.96</v>
      </c>
      <c r="G404" s="14">
        <v>-657857</v>
      </c>
      <c r="H404" s="14">
        <f t="shared" si="192"/>
        <v>77847.959999999963</v>
      </c>
      <c r="I404" s="14">
        <v>0</v>
      </c>
      <c r="J404" s="14">
        <f t="shared" si="193"/>
        <v>77847.959999999963</v>
      </c>
    </row>
    <row r="405" spans="1:10" ht="10.5" customHeight="1" x14ac:dyDescent="0.2">
      <c r="A405" s="5">
        <f t="shared" si="190"/>
        <v>405</v>
      </c>
      <c r="B405" s="62"/>
      <c r="C405" s="68" t="s">
        <v>297</v>
      </c>
      <c r="D405" s="58">
        <v>0</v>
      </c>
      <c r="E405" s="14">
        <v>0</v>
      </c>
      <c r="F405" s="14">
        <f t="shared" si="191"/>
        <v>0</v>
      </c>
      <c r="G405" s="14">
        <v>0</v>
      </c>
      <c r="H405" s="14">
        <f t="shared" si="192"/>
        <v>0</v>
      </c>
      <c r="I405" s="14">
        <v>0</v>
      </c>
      <c r="J405" s="14">
        <f t="shared" si="193"/>
        <v>0</v>
      </c>
    </row>
    <row r="406" spans="1:10" ht="10.5" customHeight="1" x14ac:dyDescent="0.2">
      <c r="A406" s="5">
        <f t="shared" si="190"/>
        <v>406</v>
      </c>
      <c r="B406" s="62"/>
      <c r="C406" s="68" t="s">
        <v>298</v>
      </c>
      <c r="D406" s="58">
        <v>1862.79</v>
      </c>
      <c r="E406" s="14">
        <v>0</v>
      </c>
      <c r="F406" s="14">
        <f t="shared" si="191"/>
        <v>1862.79</v>
      </c>
      <c r="G406" s="14">
        <v>0</v>
      </c>
      <c r="H406" s="14">
        <f t="shared" si="192"/>
        <v>1862.79</v>
      </c>
      <c r="I406" s="14">
        <v>0</v>
      </c>
      <c r="J406" s="14">
        <f t="shared" si="193"/>
        <v>1862.79</v>
      </c>
    </row>
    <row r="407" spans="1:10" ht="10.5" customHeight="1" x14ac:dyDescent="0.2">
      <c r="A407" s="5">
        <f t="shared" si="190"/>
        <v>407</v>
      </c>
      <c r="B407" s="30" t="s">
        <v>66</v>
      </c>
      <c r="C407" s="62" t="s">
        <v>299</v>
      </c>
      <c r="D407" s="14">
        <f>SUM(D398:D406)</f>
        <v>96827669.633260012</v>
      </c>
      <c r="E407" s="14">
        <f>SUM(E398:E406)</f>
        <v>-27580701.400000002</v>
      </c>
      <c r="F407" s="14">
        <f t="shared" si="191"/>
        <v>69246968.233260006</v>
      </c>
      <c r="G407" s="14">
        <f>SUM(G398:G406)</f>
        <v>-1826738</v>
      </c>
      <c r="H407" s="14">
        <f>SUM(H398:H406)</f>
        <v>67420230.233260006</v>
      </c>
      <c r="I407" s="14">
        <f t="shared" ref="I407" si="194">SUM(I398:I404)</f>
        <v>0</v>
      </c>
      <c r="J407" s="14">
        <f t="shared" si="193"/>
        <v>67420230.233260006</v>
      </c>
    </row>
    <row r="408" spans="1:10" ht="10.5" customHeight="1" x14ac:dyDescent="0.2">
      <c r="A408" s="5">
        <f t="shared" si="190"/>
        <v>408</v>
      </c>
      <c r="B408" s="30" t="s">
        <v>66</v>
      </c>
      <c r="C408" s="30" t="s">
        <v>66</v>
      </c>
      <c r="E408" s="14"/>
      <c r="J408" s="14"/>
    </row>
    <row r="409" spans="1:10" ht="10.5" customHeight="1" x14ac:dyDescent="0.2">
      <c r="A409" s="5">
        <f t="shared" si="190"/>
        <v>409</v>
      </c>
      <c r="B409" s="30" t="s">
        <v>66</v>
      </c>
      <c r="C409" s="30" t="s">
        <v>300</v>
      </c>
      <c r="D409" s="14">
        <f>SUM(D376,D381,D383,D395,D407)</f>
        <v>127514966.75326002</v>
      </c>
      <c r="E409" s="14">
        <f>SUM(E376,E381,E383,E395,E407)</f>
        <v>-27580701.400000002</v>
      </c>
      <c r="F409" s="14">
        <f>D409+E409</f>
        <v>99934265.35326001</v>
      </c>
      <c r="G409" s="14">
        <f>SUM(G376,G381,G383,G395,G407)</f>
        <v>-1165841</v>
      </c>
      <c r="H409" s="14">
        <f>SUM(H376,H381,H383,H395,H407)</f>
        <v>98768424.35326001</v>
      </c>
      <c r="I409" s="14">
        <f>SUM(I376,I381,I383,I395,I407)</f>
        <v>0</v>
      </c>
      <c r="J409" s="14">
        <f>SUM(H409:I409)</f>
        <v>98768424.35326001</v>
      </c>
    </row>
    <row r="410" spans="1:10" ht="10.5" customHeight="1" x14ac:dyDescent="0.2">
      <c r="A410" s="5">
        <f t="shared" si="190"/>
        <v>410</v>
      </c>
      <c r="B410" s="30" t="s">
        <v>66</v>
      </c>
      <c r="C410" s="30" t="s">
        <v>66</v>
      </c>
      <c r="E410" s="14"/>
      <c r="J410" s="14"/>
    </row>
    <row r="411" spans="1:10" ht="10.5" customHeight="1" x14ac:dyDescent="0.2">
      <c r="A411" s="5">
        <f t="shared" si="190"/>
        <v>411</v>
      </c>
      <c r="B411" s="30" t="s">
        <v>26</v>
      </c>
      <c r="C411" s="30"/>
      <c r="D411" s="14">
        <f>SUM(D373,D409)</f>
        <v>1822965432.7632599</v>
      </c>
      <c r="E411" s="14">
        <f>SUM(E373,E409)</f>
        <v>-272795912.40999997</v>
      </c>
      <c r="F411" s="14">
        <f>D411+E411</f>
        <v>1550169520.35326</v>
      </c>
      <c r="G411" s="14">
        <f>SUM(G373,G409)</f>
        <v>232688539.99299848</v>
      </c>
      <c r="H411" s="14">
        <f>SUM(H373,H409)</f>
        <v>1782858060.3462584</v>
      </c>
      <c r="I411" s="14">
        <f>SUM(I373+I409)</f>
        <v>0</v>
      </c>
      <c r="J411" s="14">
        <f>SUM(H411:I411)</f>
        <v>1782858060.3462584</v>
      </c>
    </row>
    <row r="412" spans="1:10" ht="10.5" customHeight="1" x14ac:dyDescent="0.2">
      <c r="A412" s="5">
        <f t="shared" si="190"/>
        <v>412</v>
      </c>
      <c r="B412" s="13" t="s">
        <v>301</v>
      </c>
      <c r="E412" s="14"/>
      <c r="J412" s="14"/>
    </row>
    <row r="413" spans="1:10" ht="10.5" customHeight="1" x14ac:dyDescent="0.2">
      <c r="A413" s="5">
        <f t="shared" si="190"/>
        <v>413</v>
      </c>
      <c r="B413" s="30" t="s">
        <v>302</v>
      </c>
      <c r="C413" s="30"/>
      <c r="E413" s="14"/>
      <c r="J413" s="14"/>
    </row>
    <row r="414" spans="1:10" ht="10.5" customHeight="1" x14ac:dyDescent="0.2">
      <c r="A414" s="5">
        <f t="shared" si="190"/>
        <v>414</v>
      </c>
      <c r="B414" s="30" t="s">
        <v>303</v>
      </c>
      <c r="C414" s="30"/>
      <c r="E414" s="14"/>
      <c r="J414" s="14"/>
    </row>
    <row r="415" spans="1:10" ht="10.5" customHeight="1" x14ac:dyDescent="0.2">
      <c r="A415" s="5">
        <f t="shared" si="190"/>
        <v>415</v>
      </c>
      <c r="B415" s="66" t="s">
        <v>304</v>
      </c>
      <c r="C415" s="30"/>
      <c r="D415" s="17">
        <v>954515.64</v>
      </c>
      <c r="E415" s="14">
        <v>-283105</v>
      </c>
      <c r="F415" s="14">
        <f>D415+E415</f>
        <v>671410.64</v>
      </c>
      <c r="G415" s="14">
        <v>1123</v>
      </c>
      <c r="H415" s="14">
        <f>SUM(F415:F415,G415:G415)</f>
        <v>672533.64</v>
      </c>
      <c r="I415" s="14">
        <v>8760</v>
      </c>
      <c r="J415" s="14">
        <f t="shared" ref="J415" si="195">SUM(H415:I415)</f>
        <v>681293.64</v>
      </c>
    </row>
    <row r="416" spans="1:10" ht="10.5" customHeight="1" x14ac:dyDescent="0.2">
      <c r="A416" s="5">
        <f t="shared" si="190"/>
        <v>416</v>
      </c>
      <c r="B416" s="66" t="s">
        <v>305</v>
      </c>
      <c r="C416" s="30"/>
      <c r="D416" s="17">
        <v>97426833.939999998</v>
      </c>
      <c r="E416" s="14">
        <f>F416-D416</f>
        <v>-31903833.939999998</v>
      </c>
      <c r="F416" s="14">
        <v>65523000</v>
      </c>
      <c r="G416" s="14">
        <f>H416-F416</f>
        <v>60278910</v>
      </c>
      <c r="H416" s="14">
        <v>125801910</v>
      </c>
      <c r="I416" s="14">
        <v>0</v>
      </c>
      <c r="J416" s="14">
        <f>SUM(H416:I416)</f>
        <v>125801910</v>
      </c>
    </row>
    <row r="417" spans="1:10" ht="10.5" customHeight="1" x14ac:dyDescent="0.2">
      <c r="A417" s="5">
        <f t="shared" si="190"/>
        <v>417</v>
      </c>
      <c r="B417" s="66" t="s">
        <v>306</v>
      </c>
      <c r="C417" s="30"/>
      <c r="E417" s="14"/>
      <c r="J417" s="14"/>
    </row>
    <row r="418" spans="1:10" ht="10.5" customHeight="1" x14ac:dyDescent="0.2">
      <c r="A418" s="5">
        <f t="shared" si="190"/>
        <v>418</v>
      </c>
      <c r="B418" s="62" t="s">
        <v>307</v>
      </c>
      <c r="C418" s="30"/>
      <c r="D418" s="59">
        <f>D882</f>
        <v>2042152.0299999998</v>
      </c>
      <c r="E418" s="14">
        <v>0</v>
      </c>
      <c r="F418" s="14">
        <f>D418+E418</f>
        <v>2042152.0299999998</v>
      </c>
      <c r="G418" s="14">
        <v>0</v>
      </c>
      <c r="H418" s="14">
        <f>SUM(F418:G418)</f>
        <v>2042152.0299999998</v>
      </c>
      <c r="I418" s="14">
        <v>0</v>
      </c>
      <c r="J418" s="14">
        <f t="shared" ref="J418:J427" si="196">SUM(H418:I418)</f>
        <v>2042152.0299999998</v>
      </c>
    </row>
    <row r="419" spans="1:10" ht="10.5" customHeight="1" x14ac:dyDescent="0.2">
      <c r="A419" s="5">
        <f t="shared" si="190"/>
        <v>419</v>
      </c>
      <c r="B419" s="62" t="s">
        <v>193</v>
      </c>
      <c r="C419" s="30"/>
      <c r="D419" s="14">
        <f>8856795.51-D418</f>
        <v>6814643.4800000004</v>
      </c>
      <c r="E419" s="14">
        <v>-4095143</v>
      </c>
      <c r="F419" s="14">
        <f>D419+E419</f>
        <v>2719500.4800000004</v>
      </c>
      <c r="G419" s="14">
        <v>0</v>
      </c>
      <c r="H419" s="14">
        <f>SUM(F419:G419)</f>
        <v>2719500.4800000004</v>
      </c>
      <c r="I419" s="14">
        <v>0</v>
      </c>
      <c r="J419" s="14">
        <f>SUM(H419:I419)</f>
        <v>2719500.4800000004</v>
      </c>
    </row>
    <row r="420" spans="1:10" ht="10.5" customHeight="1" x14ac:dyDescent="0.2">
      <c r="A420" s="5">
        <f t="shared" si="190"/>
        <v>420</v>
      </c>
      <c r="B420" s="30" t="s">
        <v>66</v>
      </c>
      <c r="C420" s="30" t="s">
        <v>308</v>
      </c>
      <c r="D420" s="17">
        <f>SUM(D418:D419)</f>
        <v>8856795.5099999998</v>
      </c>
      <c r="E420" s="14">
        <f>SUM(E418:E419)</f>
        <v>-4095143</v>
      </c>
      <c r="F420" s="14">
        <f>D420+E420</f>
        <v>4761652.51</v>
      </c>
      <c r="G420" s="14">
        <f>SUM(G418:G419)</f>
        <v>0</v>
      </c>
      <c r="H420" s="14">
        <f>SUM(F420:G420)</f>
        <v>4761652.51</v>
      </c>
      <c r="I420" s="14">
        <v>0</v>
      </c>
      <c r="J420" s="14">
        <f>SUM(H420:I420)</f>
        <v>4761652.51</v>
      </c>
    </row>
    <row r="421" spans="1:10" ht="10.5" customHeight="1" x14ac:dyDescent="0.2">
      <c r="A421" s="5">
        <f t="shared" si="190"/>
        <v>421</v>
      </c>
      <c r="B421" s="66" t="s">
        <v>309</v>
      </c>
      <c r="C421" s="30"/>
      <c r="E421" s="14"/>
      <c r="J421" s="14"/>
    </row>
    <row r="422" spans="1:10" ht="10.5" customHeight="1" x14ac:dyDescent="0.2">
      <c r="A422" s="5">
        <f t="shared" si="190"/>
        <v>422</v>
      </c>
      <c r="B422" s="62" t="s">
        <v>307</v>
      </c>
      <c r="C422" s="30"/>
      <c r="D422" s="59">
        <f>D886</f>
        <v>979343.72</v>
      </c>
      <c r="E422" s="14">
        <v>0</v>
      </c>
      <c r="F422" s="14">
        <f t="shared" ref="F422:F427" si="197">D422+E422</f>
        <v>979343.72</v>
      </c>
      <c r="G422" s="14">
        <v>0</v>
      </c>
      <c r="H422" s="14">
        <f>SUM(F422:G422)</f>
        <v>979343.72</v>
      </c>
      <c r="I422" s="14">
        <v>0</v>
      </c>
      <c r="J422" s="14">
        <f t="shared" si="196"/>
        <v>979343.72</v>
      </c>
    </row>
    <row r="423" spans="1:10" ht="10.5" customHeight="1" x14ac:dyDescent="0.2">
      <c r="A423" s="5">
        <f t="shared" si="190"/>
        <v>423</v>
      </c>
      <c r="B423" s="62" t="s">
        <v>193</v>
      </c>
      <c r="C423" s="30"/>
      <c r="D423" s="14">
        <f>1752548.58-D422</f>
        <v>773204.8600000001</v>
      </c>
      <c r="E423" s="14">
        <v>0</v>
      </c>
      <c r="F423" s="14">
        <f t="shared" si="197"/>
        <v>773204.8600000001</v>
      </c>
      <c r="G423" s="14">
        <v>0</v>
      </c>
      <c r="H423" s="14">
        <f>SUM(F423:G423)</f>
        <v>773204.8600000001</v>
      </c>
      <c r="I423" s="14">
        <v>0</v>
      </c>
      <c r="J423" s="14">
        <f>SUM(H423:I423)</f>
        <v>773204.8600000001</v>
      </c>
    </row>
    <row r="424" spans="1:10" ht="10.5" customHeight="1" x14ac:dyDescent="0.2">
      <c r="A424" s="5">
        <f t="shared" si="190"/>
        <v>424</v>
      </c>
      <c r="B424" s="30" t="s">
        <v>66</v>
      </c>
      <c r="C424" s="30" t="s">
        <v>310</v>
      </c>
      <c r="D424" s="17">
        <f>SUM(D422:D423)</f>
        <v>1752548.58</v>
      </c>
      <c r="E424" s="14">
        <f>SUM(E422:E423)</f>
        <v>0</v>
      </c>
      <c r="F424" s="14">
        <f t="shared" si="197"/>
        <v>1752548.58</v>
      </c>
      <c r="G424" s="14">
        <f>SUM(G422:G423)</f>
        <v>0</v>
      </c>
      <c r="H424" s="14">
        <f>SUM(F424:G424)</f>
        <v>1752548.58</v>
      </c>
      <c r="I424" s="14">
        <f>SUM(I422:I423)</f>
        <v>0</v>
      </c>
      <c r="J424" s="14">
        <f>SUM(H424:I424)</f>
        <v>1752548.58</v>
      </c>
    </row>
    <row r="425" spans="1:10" ht="10.5" customHeight="1" x14ac:dyDescent="0.2">
      <c r="A425" s="5">
        <f t="shared" si="190"/>
        <v>425</v>
      </c>
      <c r="B425" s="66" t="s">
        <v>311</v>
      </c>
      <c r="C425" s="30"/>
      <c r="D425" s="17">
        <v>8027359.54</v>
      </c>
      <c r="E425" s="14">
        <v>-6754326</v>
      </c>
      <c r="F425" s="14">
        <f t="shared" si="197"/>
        <v>1273033.54</v>
      </c>
      <c r="G425" s="14">
        <v>28</v>
      </c>
      <c r="H425" s="14">
        <f t="shared" ref="H425:H427" si="198">SUM(F425:G425)</f>
        <v>1273061.54</v>
      </c>
      <c r="I425" s="14">
        <v>217</v>
      </c>
      <c r="J425" s="14">
        <f t="shared" si="196"/>
        <v>1273278.54</v>
      </c>
    </row>
    <row r="426" spans="1:10" ht="10.5" customHeight="1" x14ac:dyDescent="0.2">
      <c r="A426" s="5">
        <f t="shared" si="190"/>
        <v>426</v>
      </c>
      <c r="B426" s="66" t="s">
        <v>312</v>
      </c>
      <c r="C426" s="30"/>
      <c r="D426" s="17">
        <v>223831.62</v>
      </c>
      <c r="E426" s="14">
        <f>-D426</f>
        <v>-223831.62</v>
      </c>
      <c r="F426" s="14">
        <f t="shared" si="197"/>
        <v>0</v>
      </c>
      <c r="G426" s="14">
        <v>0</v>
      </c>
      <c r="H426" s="14">
        <f t="shared" si="198"/>
        <v>0</v>
      </c>
      <c r="I426" s="14">
        <v>0</v>
      </c>
      <c r="J426" s="14">
        <f t="shared" si="196"/>
        <v>0</v>
      </c>
    </row>
    <row r="427" spans="1:10" ht="10.5" customHeight="1" x14ac:dyDescent="0.2">
      <c r="A427" s="5">
        <f t="shared" si="190"/>
        <v>427</v>
      </c>
      <c r="B427" s="30" t="s">
        <v>66</v>
      </c>
      <c r="C427" s="66" t="s">
        <v>313</v>
      </c>
      <c r="D427" s="14">
        <f>SUM(D415,D416,D420,D424,D425,D426)</f>
        <v>117241884.83000001</v>
      </c>
      <c r="E427" s="14">
        <f>SUM(E415,E416,E420,E424,E425,E426)</f>
        <v>-43260239.559999995</v>
      </c>
      <c r="F427" s="14">
        <f t="shared" si="197"/>
        <v>73981645.270000011</v>
      </c>
      <c r="G427" s="14">
        <f>SUM(G415,G416,G420,G424,G425,G426)</f>
        <v>60280061</v>
      </c>
      <c r="H427" s="14">
        <f t="shared" si="198"/>
        <v>134261706.27000001</v>
      </c>
      <c r="I427" s="14">
        <f t="shared" ref="I427" si="199">SUM(I415,I416,I420,I424,I425,I426)</f>
        <v>8977</v>
      </c>
      <c r="J427" s="14">
        <f t="shared" si="196"/>
        <v>134270683.27000001</v>
      </c>
    </row>
    <row r="428" spans="1:10" ht="10.5" customHeight="1" x14ac:dyDescent="0.2">
      <c r="A428" s="5">
        <f t="shared" si="190"/>
        <v>428</v>
      </c>
      <c r="B428" s="30" t="s">
        <v>41</v>
      </c>
      <c r="C428" s="30"/>
      <c r="E428" s="14"/>
      <c r="J428" s="14"/>
    </row>
    <row r="429" spans="1:10" ht="10.5" customHeight="1" x14ac:dyDescent="0.2">
      <c r="A429" s="5">
        <f t="shared" si="190"/>
        <v>429</v>
      </c>
      <c r="B429" s="30" t="s">
        <v>314</v>
      </c>
      <c r="C429" s="30"/>
      <c r="E429" s="14"/>
      <c r="J429" s="14"/>
    </row>
    <row r="430" spans="1:10" ht="10.5" customHeight="1" x14ac:dyDescent="0.2">
      <c r="A430" s="5">
        <f t="shared" si="190"/>
        <v>430</v>
      </c>
      <c r="B430" s="66" t="s">
        <v>315</v>
      </c>
      <c r="C430" s="30"/>
      <c r="D430" s="17">
        <v>52860.97</v>
      </c>
      <c r="E430" s="14">
        <f>-D430</f>
        <v>-52860.97</v>
      </c>
      <c r="F430" s="14">
        <f>D430+E430</f>
        <v>0</v>
      </c>
      <c r="G430" s="14">
        <v>0</v>
      </c>
      <c r="H430" s="14">
        <f t="shared" ref="H430:H442" si="200">SUM(F430:G430)</f>
        <v>0</v>
      </c>
      <c r="I430" s="14">
        <v>0</v>
      </c>
      <c r="J430" s="14">
        <f t="shared" ref="J430:J435" si="201">SUM(H430:I430)</f>
        <v>0</v>
      </c>
    </row>
    <row r="431" spans="1:10" ht="10.5" customHeight="1" x14ac:dyDescent="0.2">
      <c r="A431" s="5">
        <f t="shared" si="190"/>
        <v>431</v>
      </c>
      <c r="B431" s="66" t="s">
        <v>316</v>
      </c>
      <c r="C431" s="30"/>
      <c r="D431" s="17">
        <v>355730.84</v>
      </c>
      <c r="E431" s="14">
        <v>0</v>
      </c>
      <c r="F431" s="14">
        <f>D431+E431</f>
        <v>355730.84</v>
      </c>
      <c r="G431" s="14">
        <v>0</v>
      </c>
      <c r="H431" s="14">
        <f t="shared" si="200"/>
        <v>355730.84</v>
      </c>
      <c r="I431" s="14">
        <v>0</v>
      </c>
      <c r="J431" s="14">
        <f t="shared" si="201"/>
        <v>355730.84</v>
      </c>
    </row>
    <row r="432" spans="1:10" ht="10.5" customHeight="1" x14ac:dyDescent="0.2">
      <c r="A432" s="5">
        <f t="shared" si="190"/>
        <v>432</v>
      </c>
      <c r="B432" s="66" t="s">
        <v>317</v>
      </c>
      <c r="C432" s="30"/>
      <c r="E432" s="14"/>
      <c r="I432" s="14">
        <v>0</v>
      </c>
      <c r="J432" s="14"/>
    </row>
    <row r="433" spans="1:10" ht="10.5" customHeight="1" x14ac:dyDescent="0.2">
      <c r="A433" s="5">
        <f t="shared" si="190"/>
        <v>433</v>
      </c>
      <c r="B433" s="62" t="s">
        <v>307</v>
      </c>
      <c r="C433" s="30"/>
      <c r="D433" s="59">
        <f>D897</f>
        <v>3338586.92</v>
      </c>
      <c r="E433" s="14">
        <v>0</v>
      </c>
      <c r="F433" s="14">
        <f>D433+E433</f>
        <v>3338586.92</v>
      </c>
      <c r="G433" s="14">
        <v>0</v>
      </c>
      <c r="H433" s="14">
        <f>SUM(F433:G433)</f>
        <v>3338586.92</v>
      </c>
      <c r="I433" s="14">
        <v>0</v>
      </c>
      <c r="J433" s="14">
        <f t="shared" si="201"/>
        <v>3338586.92</v>
      </c>
    </row>
    <row r="434" spans="1:10" ht="10.5" customHeight="1" x14ac:dyDescent="0.2">
      <c r="A434" s="5">
        <f t="shared" si="190"/>
        <v>434</v>
      </c>
      <c r="B434" s="62" t="s">
        <v>193</v>
      </c>
      <c r="C434" s="30"/>
      <c r="D434" s="14">
        <f>8521483.29-D433</f>
        <v>5182896.3699999992</v>
      </c>
      <c r="E434" s="14">
        <v>-6614610</v>
      </c>
      <c r="F434" s="14">
        <f>D434+E434</f>
        <v>-1431713.6300000008</v>
      </c>
      <c r="G434" s="14">
        <v>0</v>
      </c>
      <c r="H434" s="14">
        <f t="shared" si="200"/>
        <v>-1431713.6300000008</v>
      </c>
      <c r="I434" s="14">
        <v>0</v>
      </c>
      <c r="J434" s="14">
        <f t="shared" si="201"/>
        <v>-1431713.6300000008</v>
      </c>
    </row>
    <row r="435" spans="1:10" ht="10.5" customHeight="1" x14ac:dyDescent="0.2">
      <c r="A435" s="5">
        <f t="shared" si="190"/>
        <v>435</v>
      </c>
      <c r="B435" s="30" t="s">
        <v>66</v>
      </c>
      <c r="C435" s="30" t="s">
        <v>318</v>
      </c>
      <c r="D435" s="17">
        <f>SUM(D433:D434)</f>
        <v>8521483.2899999991</v>
      </c>
      <c r="E435" s="14">
        <f>SUM(E433:E434)</f>
        <v>-6614610</v>
      </c>
      <c r="F435" s="14">
        <f>D435+E435</f>
        <v>1906873.2899999991</v>
      </c>
      <c r="G435" s="14">
        <f>SUM(G433:G434)</f>
        <v>0</v>
      </c>
      <c r="H435" s="14">
        <f t="shared" si="200"/>
        <v>1906873.2899999991</v>
      </c>
      <c r="I435" s="14">
        <v>0</v>
      </c>
      <c r="J435" s="14">
        <f t="shared" si="201"/>
        <v>1906873.2899999991</v>
      </c>
    </row>
    <row r="436" spans="1:10" ht="10.5" customHeight="1" x14ac:dyDescent="0.2">
      <c r="A436" s="5">
        <f t="shared" si="190"/>
        <v>436</v>
      </c>
      <c r="B436" s="66" t="s">
        <v>319</v>
      </c>
      <c r="C436" s="30"/>
      <c r="E436" s="14"/>
      <c r="I436" s="14">
        <v>0</v>
      </c>
      <c r="J436" s="14"/>
    </row>
    <row r="437" spans="1:10" ht="10.5" customHeight="1" x14ac:dyDescent="0.2">
      <c r="A437" s="5">
        <f t="shared" si="190"/>
        <v>437</v>
      </c>
      <c r="B437" s="62" t="s">
        <v>307</v>
      </c>
      <c r="C437" s="30"/>
      <c r="D437" s="59">
        <f>D901</f>
        <v>1472428.3</v>
      </c>
      <c r="E437" s="14">
        <v>0</v>
      </c>
      <c r="F437" s="14">
        <f t="shared" ref="F437:F442" si="202">D437+E437</f>
        <v>1472428.3</v>
      </c>
      <c r="G437" s="14">
        <v>0</v>
      </c>
      <c r="H437" s="14">
        <f t="shared" si="200"/>
        <v>1472428.3</v>
      </c>
      <c r="I437" s="14">
        <v>0</v>
      </c>
      <c r="J437" s="14">
        <f t="shared" ref="J437:J441" si="203">SUM(H437:I437)</f>
        <v>1472428.3</v>
      </c>
    </row>
    <row r="438" spans="1:10" ht="10.5" customHeight="1" x14ac:dyDescent="0.2">
      <c r="A438" s="5">
        <f t="shared" si="190"/>
        <v>438</v>
      </c>
      <c r="B438" s="62" t="s">
        <v>193</v>
      </c>
      <c r="C438" s="30"/>
      <c r="D438" s="14">
        <f>3152576.26-D437</f>
        <v>1680147.9599999997</v>
      </c>
      <c r="E438" s="14">
        <v>-3237241</v>
      </c>
      <c r="F438" s="14">
        <f t="shared" si="202"/>
        <v>-1557093.0400000003</v>
      </c>
      <c r="G438" s="14">
        <v>0</v>
      </c>
      <c r="H438" s="14">
        <f t="shared" si="200"/>
        <v>-1557093.0400000003</v>
      </c>
      <c r="I438" s="14">
        <v>0</v>
      </c>
      <c r="J438" s="14">
        <f t="shared" si="203"/>
        <v>-1557093.0400000003</v>
      </c>
    </row>
    <row r="439" spans="1:10" ht="10.5" customHeight="1" x14ac:dyDescent="0.2">
      <c r="A439" s="5">
        <f t="shared" si="190"/>
        <v>439</v>
      </c>
      <c r="B439" s="30" t="s">
        <v>66</v>
      </c>
      <c r="C439" s="30" t="s">
        <v>320</v>
      </c>
      <c r="D439" s="17">
        <f>SUM(D437:D438)</f>
        <v>3152576.26</v>
      </c>
      <c r="E439" s="14">
        <f>SUM(E437:E438)</f>
        <v>-3237241</v>
      </c>
      <c r="F439" s="14">
        <f t="shared" si="202"/>
        <v>-84664.740000000224</v>
      </c>
      <c r="G439" s="14">
        <f t="shared" ref="G439" si="204">SUM(G437:G438)</f>
        <v>0</v>
      </c>
      <c r="H439" s="14">
        <f t="shared" si="200"/>
        <v>-84664.740000000224</v>
      </c>
      <c r="I439" s="14">
        <v>0</v>
      </c>
      <c r="J439" s="14">
        <f t="shared" si="203"/>
        <v>-84664.740000000224</v>
      </c>
    </row>
    <row r="440" spans="1:10" ht="10.5" customHeight="1" x14ac:dyDescent="0.2">
      <c r="A440" s="5">
        <f t="shared" si="190"/>
        <v>440</v>
      </c>
      <c r="B440" s="66" t="s">
        <v>321</v>
      </c>
      <c r="C440" s="30"/>
      <c r="D440" s="17">
        <v>7462548.9400000004</v>
      </c>
      <c r="E440" s="14">
        <v>-7305745</v>
      </c>
      <c r="F440" s="14">
        <f t="shared" si="202"/>
        <v>156803.94000000041</v>
      </c>
      <c r="G440" s="14">
        <v>0</v>
      </c>
      <c r="H440" s="14">
        <f t="shared" si="200"/>
        <v>156803.94000000041</v>
      </c>
      <c r="I440" s="14">
        <v>0</v>
      </c>
      <c r="J440" s="14">
        <f t="shared" si="203"/>
        <v>156803.94000000041</v>
      </c>
    </row>
    <row r="441" spans="1:10" ht="10.5" customHeight="1" x14ac:dyDescent="0.2">
      <c r="A441" s="5">
        <f t="shared" si="190"/>
        <v>441</v>
      </c>
      <c r="B441" s="30" t="s">
        <v>66</v>
      </c>
      <c r="C441" s="66" t="s">
        <v>322</v>
      </c>
      <c r="D441" s="14">
        <f>SUM(D430,D431,D435,D439,D440)</f>
        <v>19545200.300000001</v>
      </c>
      <c r="E441" s="14">
        <f>SUM(E430,E431,E435,E439,E440)</f>
        <v>-17210456.969999999</v>
      </c>
      <c r="F441" s="14">
        <f t="shared" si="202"/>
        <v>2334743.3300000019</v>
      </c>
      <c r="G441" s="14">
        <f t="shared" ref="G441" si="205">SUM(G430,G431,G435,G439,G440)</f>
        <v>0</v>
      </c>
      <c r="H441" s="14">
        <f t="shared" si="200"/>
        <v>2334743.3300000019</v>
      </c>
      <c r="I441" s="14">
        <f t="shared" ref="I441" si="206">SUM(I430,I431,I435,I439,I440)</f>
        <v>0</v>
      </c>
      <c r="J441" s="14">
        <f t="shared" si="203"/>
        <v>2334743.3300000019</v>
      </c>
    </row>
    <row r="442" spans="1:10" ht="10.5" customHeight="1" x14ac:dyDescent="0.2">
      <c r="A442" s="5">
        <f t="shared" si="190"/>
        <v>442</v>
      </c>
      <c r="B442" s="30" t="s">
        <v>66</v>
      </c>
      <c r="C442" s="30" t="s">
        <v>323</v>
      </c>
      <c r="D442" s="14">
        <f>SUM(D427,D441)</f>
        <v>136787085.13000003</v>
      </c>
      <c r="E442" s="14">
        <f>SUM(E427,E441)</f>
        <v>-60470696.529999994</v>
      </c>
      <c r="F442" s="14">
        <f t="shared" si="202"/>
        <v>76316388.600000024</v>
      </c>
      <c r="G442" s="14">
        <f t="shared" ref="G442" si="207">SUM(G427,G441)</f>
        <v>60280061</v>
      </c>
      <c r="H442" s="14">
        <f t="shared" si="200"/>
        <v>136596449.60000002</v>
      </c>
      <c r="I442" s="14">
        <f t="shared" ref="I442" si="208">SUM(I427,I441)</f>
        <v>8977</v>
      </c>
      <c r="J442" s="14">
        <f>SUM(H442:I442)</f>
        <v>136605426.60000002</v>
      </c>
    </row>
    <row r="443" spans="1:10" ht="10.5" customHeight="1" x14ac:dyDescent="0.2">
      <c r="A443" s="5">
        <f t="shared" si="190"/>
        <v>443</v>
      </c>
      <c r="B443" s="30" t="s">
        <v>66</v>
      </c>
      <c r="C443" s="30" t="s">
        <v>66</v>
      </c>
      <c r="E443" s="14"/>
      <c r="J443" s="14"/>
    </row>
    <row r="444" spans="1:10" ht="10.5" customHeight="1" x14ac:dyDescent="0.2">
      <c r="A444" s="5">
        <f t="shared" si="190"/>
        <v>444</v>
      </c>
      <c r="B444" s="13" t="str">
        <f>B412</f>
        <v>TABLE 5-OPERATION &amp; MAINTENANCE EXPENSES</v>
      </c>
      <c r="E444" s="14"/>
      <c r="J444" s="14"/>
    </row>
    <row r="445" spans="1:10" ht="10.5" customHeight="1" x14ac:dyDescent="0.2">
      <c r="A445" s="5">
        <f t="shared" si="190"/>
        <v>445</v>
      </c>
      <c r="B445" s="30" t="s">
        <v>324</v>
      </c>
      <c r="C445" s="30"/>
      <c r="E445" s="14"/>
      <c r="J445" s="14"/>
    </row>
    <row r="446" spans="1:10" ht="10.5" customHeight="1" x14ac:dyDescent="0.2">
      <c r="A446" s="5">
        <f t="shared" si="190"/>
        <v>446</v>
      </c>
      <c r="B446" s="30" t="s">
        <v>303</v>
      </c>
      <c r="C446" s="30"/>
      <c r="E446" s="14"/>
      <c r="J446" s="14"/>
    </row>
    <row r="447" spans="1:10" ht="10.5" customHeight="1" x14ac:dyDescent="0.2">
      <c r="A447" s="5">
        <f t="shared" si="190"/>
        <v>447</v>
      </c>
      <c r="B447" s="66" t="s">
        <v>325</v>
      </c>
      <c r="C447" s="30"/>
      <c r="D447" s="17">
        <v>6209393.6200000001</v>
      </c>
      <c r="E447" s="14">
        <v>0</v>
      </c>
      <c r="F447" s="14">
        <f>D447+E447</f>
        <v>6209393.6200000001</v>
      </c>
      <c r="G447" s="14">
        <v>27440</v>
      </c>
      <c r="H447" s="14">
        <f t="shared" ref="H447" si="209">SUM(F447:G447)</f>
        <v>6236833.6200000001</v>
      </c>
      <c r="I447" s="14">
        <v>214121</v>
      </c>
      <c r="J447" s="14">
        <f>SUM(H447:I447)</f>
        <v>6450954.6200000001</v>
      </c>
    </row>
    <row r="448" spans="1:10" ht="10.5" customHeight="1" x14ac:dyDescent="0.2">
      <c r="A448" s="5">
        <f t="shared" si="190"/>
        <v>448</v>
      </c>
      <c r="B448" s="66" t="s">
        <v>326</v>
      </c>
      <c r="C448" s="30"/>
      <c r="D448" s="17"/>
      <c r="E448" s="69"/>
      <c r="I448" s="14">
        <v>0</v>
      </c>
      <c r="J448" s="14"/>
    </row>
    <row r="449" spans="1:10" ht="10.5" customHeight="1" x14ac:dyDescent="0.2">
      <c r="A449" s="5">
        <f t="shared" si="190"/>
        <v>449</v>
      </c>
      <c r="B449" s="66"/>
      <c r="C449" s="30" t="s">
        <v>327</v>
      </c>
      <c r="D449" s="17">
        <v>2910128.78</v>
      </c>
      <c r="E449" s="14">
        <v>-403</v>
      </c>
      <c r="F449" s="14">
        <f>SUM(D449:E449)</f>
        <v>2909725.78</v>
      </c>
      <c r="G449" s="14">
        <v>1129569</v>
      </c>
      <c r="H449" s="14">
        <f t="shared" ref="H449:H452" si="210">SUM(F449:G449)</f>
        <v>4039294.78</v>
      </c>
      <c r="I449" s="14">
        <v>30302</v>
      </c>
      <c r="J449" s="14">
        <f>SUM(H449:I449)</f>
        <v>4069596.78</v>
      </c>
    </row>
    <row r="450" spans="1:10" ht="10.5" customHeight="1" x14ac:dyDescent="0.2">
      <c r="A450" s="5">
        <f t="shared" si="190"/>
        <v>450</v>
      </c>
      <c r="B450" s="66"/>
      <c r="C450" s="30" t="s">
        <v>328</v>
      </c>
      <c r="D450" s="17">
        <v>0</v>
      </c>
      <c r="E450" s="14">
        <v>0</v>
      </c>
      <c r="F450" s="14">
        <v>0</v>
      </c>
      <c r="G450" s="14">
        <v>0</v>
      </c>
      <c r="H450" s="14">
        <f t="shared" si="210"/>
        <v>0</v>
      </c>
      <c r="I450" s="14">
        <v>0</v>
      </c>
      <c r="J450" s="14">
        <f>SUM(H450:I450)</f>
        <v>0</v>
      </c>
    </row>
    <row r="451" spans="1:10" ht="10.5" customHeight="1" x14ac:dyDescent="0.2">
      <c r="A451" s="5">
        <f t="shared" si="190"/>
        <v>451</v>
      </c>
      <c r="B451" s="66"/>
      <c r="C451" s="30" t="s">
        <v>329</v>
      </c>
      <c r="D451" s="14">
        <f>SUM(D449:D450)</f>
        <v>2910128.78</v>
      </c>
      <c r="E451" s="14">
        <f>SUM(E449:E450)</f>
        <v>-403</v>
      </c>
      <c r="F451" s="14">
        <f>D451+E451</f>
        <v>2909725.78</v>
      </c>
      <c r="G451" s="14">
        <f>SUM(G449:G450)</f>
        <v>1129569</v>
      </c>
      <c r="H451" s="14">
        <f>SUM(F451:G451)</f>
        <v>4039294.78</v>
      </c>
      <c r="I451" s="14">
        <f>SUM(I449:I450)</f>
        <v>30302</v>
      </c>
      <c r="J451" s="14">
        <f>SUM(H451:I451)</f>
        <v>4069596.78</v>
      </c>
    </row>
    <row r="452" spans="1:10" ht="10.5" customHeight="1" x14ac:dyDescent="0.2">
      <c r="A452" s="5">
        <f t="shared" si="190"/>
        <v>452</v>
      </c>
      <c r="B452" s="66" t="s">
        <v>330</v>
      </c>
      <c r="C452" s="30"/>
      <c r="D452" s="17">
        <v>21238903.41</v>
      </c>
      <c r="E452" s="14">
        <v>0</v>
      </c>
      <c r="F452" s="14">
        <f>D452+E452</f>
        <v>21238903.41</v>
      </c>
      <c r="G452" s="14">
        <v>42976</v>
      </c>
      <c r="H452" s="14">
        <f t="shared" si="210"/>
        <v>21281879.41</v>
      </c>
      <c r="I452" s="14">
        <v>335350</v>
      </c>
      <c r="J452" s="14">
        <f>SUM(H452:I452)</f>
        <v>21617229.41</v>
      </c>
    </row>
    <row r="453" spans="1:10" ht="10.5" customHeight="1" x14ac:dyDescent="0.2">
      <c r="A453" s="5">
        <f t="shared" si="190"/>
        <v>453</v>
      </c>
      <c r="B453" s="66" t="s">
        <v>331</v>
      </c>
      <c r="C453" s="30"/>
      <c r="E453" s="14"/>
      <c r="I453" s="14">
        <v>0</v>
      </c>
      <c r="J453" s="14"/>
    </row>
    <row r="454" spans="1:10" ht="10.5" customHeight="1" x14ac:dyDescent="0.2">
      <c r="A454" s="5">
        <f t="shared" si="190"/>
        <v>454</v>
      </c>
      <c r="B454" s="62" t="s">
        <v>307</v>
      </c>
      <c r="C454" s="30"/>
      <c r="D454" s="17">
        <f>D915</f>
        <v>1762303.48</v>
      </c>
      <c r="E454" s="14">
        <v>0</v>
      </c>
      <c r="F454" s="14">
        <f>D454+E454</f>
        <v>1762303.48</v>
      </c>
      <c r="G454" s="14">
        <v>10002</v>
      </c>
      <c r="H454" s="14">
        <f t="shared" ref="H454:H459" si="211">SUM(F454:G454)</f>
        <v>1772305.48</v>
      </c>
      <c r="I454" s="14">
        <v>78052</v>
      </c>
      <c r="J454" s="14">
        <f>SUM(H454:I454)</f>
        <v>1850357.48</v>
      </c>
    </row>
    <row r="455" spans="1:10" ht="10.5" customHeight="1" x14ac:dyDescent="0.2">
      <c r="A455" s="5">
        <f t="shared" si="190"/>
        <v>455</v>
      </c>
      <c r="B455" s="62" t="s">
        <v>193</v>
      </c>
      <c r="C455" s="30"/>
      <c r="D455" s="17">
        <f>2316268.44-D454</f>
        <v>553964.96</v>
      </c>
      <c r="E455" s="14">
        <v>0</v>
      </c>
      <c r="F455" s="14">
        <f t="shared" ref="F455:F459" si="212">D455+E455</f>
        <v>553964.96</v>
      </c>
      <c r="G455" s="14">
        <v>0</v>
      </c>
      <c r="H455" s="14">
        <f t="shared" si="211"/>
        <v>553964.96</v>
      </c>
      <c r="I455" s="14">
        <v>0</v>
      </c>
      <c r="J455" s="14">
        <f>SUM(H455:I455)</f>
        <v>553964.96</v>
      </c>
    </row>
    <row r="456" spans="1:10" ht="10.5" customHeight="1" x14ac:dyDescent="0.2">
      <c r="A456" s="5">
        <f t="shared" ref="A456:A519" si="213">A455+1</f>
        <v>456</v>
      </c>
      <c r="B456" s="30" t="s">
        <v>66</v>
      </c>
      <c r="C456" s="30" t="s">
        <v>332</v>
      </c>
      <c r="D456" s="14">
        <f>SUM(D454:D455)</f>
        <v>2316268.44</v>
      </c>
      <c r="E456" s="14">
        <f>SUM(E454:E455)</f>
        <v>0</v>
      </c>
      <c r="F456" s="14">
        <f t="shared" si="212"/>
        <v>2316268.44</v>
      </c>
      <c r="G456" s="14">
        <f t="shared" ref="G456:I456" si="214">SUM(G454:G455)</f>
        <v>10002</v>
      </c>
      <c r="H456" s="14">
        <f>SUM(F456:G456)</f>
        <v>2326270.44</v>
      </c>
      <c r="I456" s="14">
        <f t="shared" si="214"/>
        <v>78052</v>
      </c>
      <c r="J456" s="14">
        <f>SUM(H456:I456)</f>
        <v>2404322.44</v>
      </c>
    </row>
    <row r="457" spans="1:10" ht="10.5" customHeight="1" x14ac:dyDescent="0.2">
      <c r="A457" s="5">
        <f t="shared" si="213"/>
        <v>457</v>
      </c>
      <c r="B457" s="66" t="s">
        <v>333</v>
      </c>
      <c r="C457" s="30"/>
      <c r="D457" s="17">
        <v>6579400.9699999997</v>
      </c>
      <c r="E457" s="14">
        <v>0</v>
      </c>
      <c r="F457" s="14">
        <f t="shared" si="212"/>
        <v>6579400.9699999997</v>
      </c>
      <c r="G457" s="14">
        <v>25871</v>
      </c>
      <c r="H457" s="14">
        <f t="shared" si="211"/>
        <v>6605271.9699999997</v>
      </c>
      <c r="I457" s="14">
        <v>201880</v>
      </c>
      <c r="J457" s="14">
        <f t="shared" ref="J457:J459" si="215">SUM(H457:I457)</f>
        <v>6807151.9699999997</v>
      </c>
    </row>
    <row r="458" spans="1:10" ht="10.5" customHeight="1" x14ac:dyDescent="0.2">
      <c r="A458" s="5">
        <f t="shared" si="213"/>
        <v>458</v>
      </c>
      <c r="B458" s="66" t="s">
        <v>334</v>
      </c>
      <c r="C458" s="30"/>
      <c r="D458" s="17">
        <v>319088.58</v>
      </c>
      <c r="E458" s="14">
        <v>0</v>
      </c>
      <c r="F458" s="14">
        <f t="shared" si="212"/>
        <v>319088.58</v>
      </c>
      <c r="G458" s="14">
        <v>0</v>
      </c>
      <c r="H458" s="14">
        <f t="shared" si="211"/>
        <v>319088.58</v>
      </c>
      <c r="I458" s="14">
        <v>0</v>
      </c>
      <c r="J458" s="14">
        <f t="shared" si="215"/>
        <v>319088.58</v>
      </c>
    </row>
    <row r="459" spans="1:10" ht="10.5" customHeight="1" x14ac:dyDescent="0.2">
      <c r="A459" s="5">
        <f t="shared" si="213"/>
        <v>459</v>
      </c>
      <c r="B459" s="30" t="s">
        <v>66</v>
      </c>
      <c r="C459" s="66" t="s">
        <v>335</v>
      </c>
      <c r="D459" s="14">
        <f>SUM(D447,D451,D452,D456,D457,D458)</f>
        <v>39573183.800000004</v>
      </c>
      <c r="E459" s="14">
        <f>SUM(E447,E451,E452,E456,E457,E458)</f>
        <v>-403</v>
      </c>
      <c r="F459" s="14">
        <f t="shared" si="212"/>
        <v>39572780.800000004</v>
      </c>
      <c r="G459" s="14">
        <f>SUM(G447,G451,G452,G456,G457,G458)</f>
        <v>1235858</v>
      </c>
      <c r="H459" s="14">
        <f t="shared" si="211"/>
        <v>40808638.800000004</v>
      </c>
      <c r="I459" s="14">
        <f t="shared" ref="I459" si="216">SUM(I447,I451,I452,I456,I457,I458)</f>
        <v>859705</v>
      </c>
      <c r="J459" s="14">
        <f t="shared" si="215"/>
        <v>41668343.800000004</v>
      </c>
    </row>
    <row r="460" spans="1:10" ht="10.5" customHeight="1" x14ac:dyDescent="0.2">
      <c r="A460" s="5">
        <f t="shared" si="213"/>
        <v>460</v>
      </c>
      <c r="B460" s="30" t="s">
        <v>41</v>
      </c>
      <c r="C460" s="30" t="s">
        <v>41</v>
      </c>
      <c r="E460" s="14"/>
      <c r="J460" s="14"/>
    </row>
    <row r="461" spans="1:10" ht="10.5" customHeight="1" x14ac:dyDescent="0.2">
      <c r="A461" s="5">
        <f t="shared" si="213"/>
        <v>461</v>
      </c>
      <c r="B461" s="30" t="s">
        <v>314</v>
      </c>
      <c r="C461" s="30"/>
      <c r="E461" s="14"/>
      <c r="J461" s="14"/>
    </row>
    <row r="462" spans="1:10" ht="10.5" customHeight="1" x14ac:dyDescent="0.2">
      <c r="A462" s="5">
        <f t="shared" si="213"/>
        <v>462</v>
      </c>
      <c r="B462" s="66" t="s">
        <v>336</v>
      </c>
      <c r="C462" s="30"/>
      <c r="D462" s="17">
        <v>179739.04</v>
      </c>
      <c r="E462" s="14">
        <v>0</v>
      </c>
      <c r="F462" s="14">
        <f>D462+E462</f>
        <v>179739.04</v>
      </c>
      <c r="G462" s="14">
        <v>851</v>
      </c>
      <c r="H462" s="14">
        <f t="shared" ref="H462:H464" si="217">SUM(F462:G462)</f>
        <v>180590.04</v>
      </c>
      <c r="I462" s="14">
        <v>6640</v>
      </c>
      <c r="J462" s="14">
        <f>SUM(H462:I462)</f>
        <v>187230.04</v>
      </c>
    </row>
    <row r="463" spans="1:10" ht="10.5" customHeight="1" x14ac:dyDescent="0.2">
      <c r="A463" s="5">
        <f t="shared" si="213"/>
        <v>463</v>
      </c>
      <c r="B463" s="66" t="s">
        <v>337</v>
      </c>
      <c r="C463" s="30"/>
      <c r="D463" s="17">
        <v>1151713.94</v>
      </c>
      <c r="E463" s="14">
        <v>0</v>
      </c>
      <c r="F463" s="14">
        <f>D463+E463</f>
        <v>1151713.94</v>
      </c>
      <c r="G463" s="14">
        <v>3883</v>
      </c>
      <c r="H463" s="14">
        <f t="shared" si="217"/>
        <v>1155596.94</v>
      </c>
      <c r="I463" s="14">
        <v>30301</v>
      </c>
      <c r="J463" s="14">
        <f>SUM(H463:I463)</f>
        <v>1185897.94</v>
      </c>
    </row>
    <row r="464" spans="1:10" ht="10.5" customHeight="1" x14ac:dyDescent="0.2">
      <c r="A464" s="5">
        <f t="shared" si="213"/>
        <v>464</v>
      </c>
      <c r="B464" s="66" t="s">
        <v>338</v>
      </c>
      <c r="C464" s="30"/>
      <c r="D464" s="17">
        <v>1721351.35</v>
      </c>
      <c r="E464" s="14">
        <v>0</v>
      </c>
      <c r="F464" s="14">
        <f>D464+E464</f>
        <v>1721351.35</v>
      </c>
      <c r="G464" s="14">
        <v>2367</v>
      </c>
      <c r="H464" s="14">
        <f t="shared" si="217"/>
        <v>1723718.35</v>
      </c>
      <c r="I464" s="14">
        <v>18474</v>
      </c>
      <c r="J464" s="14">
        <f>SUM(H464:I464)</f>
        <v>1742192.35</v>
      </c>
    </row>
    <row r="465" spans="1:10" ht="10.5" customHeight="1" x14ac:dyDescent="0.2">
      <c r="A465" s="5">
        <f t="shared" si="213"/>
        <v>465</v>
      </c>
      <c r="B465" s="66" t="s">
        <v>339</v>
      </c>
      <c r="C465" s="30"/>
      <c r="E465" s="14"/>
      <c r="I465" s="14">
        <v>0</v>
      </c>
      <c r="J465" s="14"/>
    </row>
    <row r="466" spans="1:10" ht="10.5" customHeight="1" x14ac:dyDescent="0.2">
      <c r="A466" s="5">
        <f t="shared" si="213"/>
        <v>466</v>
      </c>
      <c r="B466" s="62" t="s">
        <v>307</v>
      </c>
      <c r="C466" s="30"/>
      <c r="D466" s="17">
        <f>D927</f>
        <v>2318408.64</v>
      </c>
      <c r="E466" s="14">
        <v>0</v>
      </c>
      <c r="F466" s="14">
        <f t="shared" ref="F466:F471" si="218">D466+E466</f>
        <v>2318408.64</v>
      </c>
      <c r="G466" s="14">
        <v>13465</v>
      </c>
      <c r="H466" s="14">
        <f t="shared" ref="H466:H471" si="219">SUM(F466:G466)</f>
        <v>2331873.64</v>
      </c>
      <c r="I466" s="14">
        <v>105069</v>
      </c>
      <c r="J466" s="14">
        <f t="shared" ref="J466:J471" si="220">SUM(H466:I466)</f>
        <v>2436942.64</v>
      </c>
    </row>
    <row r="467" spans="1:10" ht="10.5" customHeight="1" x14ac:dyDescent="0.2">
      <c r="A467" s="5">
        <f t="shared" si="213"/>
        <v>467</v>
      </c>
      <c r="B467" s="62" t="s">
        <v>193</v>
      </c>
      <c r="C467" s="30"/>
      <c r="D467" s="17">
        <f>3786618.19-D466</f>
        <v>1468209.5499999998</v>
      </c>
      <c r="E467" s="14">
        <v>0</v>
      </c>
      <c r="F467" s="14">
        <f t="shared" si="218"/>
        <v>1468209.5499999998</v>
      </c>
      <c r="G467" s="14">
        <v>0</v>
      </c>
      <c r="H467" s="14">
        <f t="shared" si="219"/>
        <v>1468209.5499999998</v>
      </c>
      <c r="I467" s="14">
        <v>0</v>
      </c>
      <c r="J467" s="14">
        <f t="shared" si="220"/>
        <v>1468209.5499999998</v>
      </c>
    </row>
    <row r="468" spans="1:10" ht="10.5" customHeight="1" x14ac:dyDescent="0.2">
      <c r="A468" s="5">
        <f t="shared" si="213"/>
        <v>468</v>
      </c>
      <c r="B468" s="30" t="s">
        <v>66</v>
      </c>
      <c r="C468" s="30" t="s">
        <v>340</v>
      </c>
      <c r="D468" s="70">
        <f>SUM(D466:D467)</f>
        <v>3786618.19</v>
      </c>
      <c r="E468" s="14">
        <f>SUM(E466:E467)</f>
        <v>0</v>
      </c>
      <c r="F468" s="14">
        <f t="shared" si="218"/>
        <v>3786618.19</v>
      </c>
      <c r="G468" s="14">
        <f t="shared" ref="G468:I468" si="221">SUM(G466:G467)</f>
        <v>13465</v>
      </c>
      <c r="H468" s="14">
        <f t="shared" si="219"/>
        <v>3800083.19</v>
      </c>
      <c r="I468" s="14">
        <f t="shared" si="221"/>
        <v>105069</v>
      </c>
      <c r="J468" s="14">
        <f t="shared" si="220"/>
        <v>3905152.19</v>
      </c>
    </row>
    <row r="469" spans="1:10" ht="10.5" customHeight="1" x14ac:dyDescent="0.2">
      <c r="A469" s="5">
        <f t="shared" si="213"/>
        <v>469</v>
      </c>
      <c r="B469" s="66" t="s">
        <v>341</v>
      </c>
      <c r="C469" s="30"/>
      <c r="D469" s="17">
        <v>5139108.71</v>
      </c>
      <c r="E469" s="14">
        <v>-25</v>
      </c>
      <c r="F469" s="14">
        <f t="shared" si="218"/>
        <v>5139083.71</v>
      </c>
      <c r="G469" s="14">
        <v>17339</v>
      </c>
      <c r="H469" s="14">
        <f t="shared" si="219"/>
        <v>5156422.71</v>
      </c>
      <c r="I469" s="14">
        <v>135299</v>
      </c>
      <c r="J469" s="14">
        <f t="shared" si="220"/>
        <v>5291721.71</v>
      </c>
    </row>
    <row r="470" spans="1:10" ht="10.5" customHeight="1" x14ac:dyDescent="0.2">
      <c r="A470" s="5">
        <f t="shared" si="213"/>
        <v>470</v>
      </c>
      <c r="B470" s="30" t="s">
        <v>66</v>
      </c>
      <c r="C470" s="66" t="s">
        <v>342</v>
      </c>
      <c r="D470" s="14">
        <f>SUM(D462:D464,D468:D469)</f>
        <v>11978531.23</v>
      </c>
      <c r="E470" s="14">
        <f>SUM(E462:E464,E468:E469)</f>
        <v>-25</v>
      </c>
      <c r="F470" s="14">
        <f t="shared" si="218"/>
        <v>11978506.23</v>
      </c>
      <c r="G470" s="14">
        <f t="shared" ref="G470:I470" si="222">SUM(G462:G464,G468:G469)</f>
        <v>37905</v>
      </c>
      <c r="H470" s="14">
        <f t="shared" si="219"/>
        <v>12016411.23</v>
      </c>
      <c r="I470" s="14">
        <f t="shared" si="222"/>
        <v>295783</v>
      </c>
      <c r="J470" s="14">
        <f t="shared" si="220"/>
        <v>12312194.23</v>
      </c>
    </row>
    <row r="471" spans="1:10" ht="10.5" customHeight="1" x14ac:dyDescent="0.2">
      <c r="A471" s="5">
        <f t="shared" si="213"/>
        <v>471</v>
      </c>
      <c r="B471" s="30" t="s">
        <v>66</v>
      </c>
      <c r="C471" s="30" t="s">
        <v>343</v>
      </c>
      <c r="D471" s="14">
        <f>SUM(D459,D470)</f>
        <v>51551715.030000001</v>
      </c>
      <c r="E471" s="14">
        <f>SUM(E459,E470)</f>
        <v>-428</v>
      </c>
      <c r="F471" s="14">
        <f t="shared" si="218"/>
        <v>51551287.030000001</v>
      </c>
      <c r="G471" s="14">
        <f>SUM(G459,G470)</f>
        <v>1273763</v>
      </c>
      <c r="H471" s="14">
        <f t="shared" si="219"/>
        <v>52825050.030000001</v>
      </c>
      <c r="I471" s="14">
        <f t="shared" ref="I471" si="223">SUM(I459,I470)</f>
        <v>1155488</v>
      </c>
      <c r="J471" s="14">
        <f t="shared" si="220"/>
        <v>53980538.030000001</v>
      </c>
    </row>
    <row r="472" spans="1:10" ht="10.5" customHeight="1" x14ac:dyDescent="0.2">
      <c r="A472" s="5">
        <f t="shared" si="213"/>
        <v>472</v>
      </c>
      <c r="B472" s="13" t="str">
        <f>B444</f>
        <v>TABLE 5-OPERATION &amp; MAINTENANCE EXPENSES</v>
      </c>
      <c r="E472" s="14"/>
      <c r="J472" s="14"/>
    </row>
    <row r="473" spans="1:10" ht="10.5" customHeight="1" x14ac:dyDescent="0.2">
      <c r="A473" s="5">
        <f t="shared" si="213"/>
        <v>473</v>
      </c>
      <c r="B473" s="30" t="s">
        <v>344</v>
      </c>
      <c r="C473" s="30"/>
      <c r="E473" s="14"/>
      <c r="J473" s="14"/>
    </row>
    <row r="474" spans="1:10" ht="10.5" customHeight="1" x14ac:dyDescent="0.2">
      <c r="A474" s="5">
        <f t="shared" si="213"/>
        <v>474</v>
      </c>
      <c r="B474" s="30" t="s">
        <v>303</v>
      </c>
      <c r="C474" s="30"/>
      <c r="E474" s="14"/>
      <c r="J474" s="14"/>
    </row>
    <row r="475" spans="1:10" ht="10.5" customHeight="1" x14ac:dyDescent="0.2">
      <c r="A475" s="5">
        <f t="shared" si="213"/>
        <v>475</v>
      </c>
      <c r="B475" s="66" t="s">
        <v>345</v>
      </c>
      <c r="C475" s="30"/>
      <c r="D475" s="17">
        <v>596233.34</v>
      </c>
      <c r="E475" s="14">
        <v>0</v>
      </c>
      <c r="F475" s="14">
        <f>D475+E475</f>
        <v>596233.34</v>
      </c>
      <c r="G475" s="14">
        <v>2960</v>
      </c>
      <c r="H475" s="14">
        <f t="shared" ref="H475" si="224">SUM(F475:G475)</f>
        <v>599193.34</v>
      </c>
      <c r="I475" s="14">
        <v>23101</v>
      </c>
      <c r="J475" s="14">
        <f>SUM(H475:I475)</f>
        <v>622294.34</v>
      </c>
    </row>
    <row r="476" spans="1:10" ht="10.5" customHeight="1" x14ac:dyDescent="0.2">
      <c r="A476" s="5">
        <f t="shared" si="213"/>
        <v>476</v>
      </c>
      <c r="B476" s="66" t="s">
        <v>346</v>
      </c>
      <c r="C476" s="30"/>
      <c r="D476" s="17"/>
      <c r="E476" s="17"/>
      <c r="F476" s="17"/>
      <c r="G476" s="17"/>
      <c r="H476" s="17"/>
      <c r="I476" s="17"/>
      <c r="J476" s="17"/>
    </row>
    <row r="477" spans="1:10" ht="10.15" customHeight="1" x14ac:dyDescent="0.2">
      <c r="A477" s="5">
        <f t="shared" si="213"/>
        <v>477</v>
      </c>
      <c r="B477" s="62" t="s">
        <v>347</v>
      </c>
      <c r="C477" s="30"/>
      <c r="D477" s="17">
        <v>11925.52</v>
      </c>
      <c r="E477" s="14">
        <v>0</v>
      </c>
      <c r="F477" s="14">
        <f>D477+E477</f>
        <v>11925.52</v>
      </c>
      <c r="G477" s="14">
        <v>0</v>
      </c>
      <c r="H477" s="14">
        <f t="shared" ref="H477:H479" si="225">SUM(F477:G477)</f>
        <v>11925.52</v>
      </c>
      <c r="I477" s="14">
        <v>0</v>
      </c>
      <c r="J477" s="14">
        <f>SUM(H477:I477)</f>
        <v>11925.52</v>
      </c>
    </row>
    <row r="478" spans="1:10" ht="10.5" customHeight="1" x14ac:dyDescent="0.2">
      <c r="A478" s="5">
        <f t="shared" si="213"/>
        <v>478</v>
      </c>
      <c r="B478" s="62" t="s">
        <v>193</v>
      </c>
      <c r="C478" s="30"/>
      <c r="D478" s="17">
        <v>161764877.94</v>
      </c>
      <c r="E478" s="14">
        <f>F478-D478</f>
        <v>-42111202.939999998</v>
      </c>
      <c r="F478" s="14">
        <v>119653675</v>
      </c>
      <c r="G478" s="14">
        <f>H478-F478</f>
        <v>-41718620.390707001</v>
      </c>
      <c r="H478" s="14">
        <v>77935054.609292999</v>
      </c>
      <c r="I478" s="14">
        <v>0</v>
      </c>
      <c r="J478" s="14">
        <f>SUM(H478:I478)</f>
        <v>77935054.609292999</v>
      </c>
    </row>
    <row r="479" spans="1:10" ht="10.5" customHeight="1" x14ac:dyDescent="0.2">
      <c r="A479" s="5">
        <f t="shared" si="213"/>
        <v>479</v>
      </c>
      <c r="B479" s="66"/>
      <c r="C479" s="30" t="s">
        <v>348</v>
      </c>
      <c r="D479" s="14">
        <f>SUM(D477:D478)</f>
        <v>161776803.46000001</v>
      </c>
      <c r="E479" s="14">
        <f>F479-D479</f>
        <v>-42111202.940000013</v>
      </c>
      <c r="F479" s="14">
        <f>SUM(F477:F478)</f>
        <v>119665600.52</v>
      </c>
      <c r="G479" s="14">
        <f>SUM(G477:G478)</f>
        <v>-41718620.390707001</v>
      </c>
      <c r="H479" s="14">
        <f t="shared" si="225"/>
        <v>77946980.129292995</v>
      </c>
      <c r="I479" s="14">
        <f t="shared" ref="I479" si="226">SUM(I477:I478)</f>
        <v>0</v>
      </c>
      <c r="J479" s="14">
        <f>SUM(H479:I479)</f>
        <v>77946980.129292995</v>
      </c>
    </row>
    <row r="480" spans="1:10" ht="10.5" customHeight="1" x14ac:dyDescent="0.2">
      <c r="A480" s="5">
        <f t="shared" si="213"/>
        <v>480</v>
      </c>
      <c r="B480" s="66" t="s">
        <v>349</v>
      </c>
      <c r="C480" s="30"/>
      <c r="E480" s="14"/>
      <c r="J480" s="14"/>
    </row>
    <row r="481" spans="1:10" ht="10.5" customHeight="1" x14ac:dyDescent="0.2">
      <c r="A481" s="5">
        <f t="shared" si="213"/>
        <v>481</v>
      </c>
      <c r="B481" s="62" t="s">
        <v>307</v>
      </c>
      <c r="C481" s="30"/>
      <c r="D481" s="17">
        <f>D939</f>
        <v>3885262.84</v>
      </c>
      <c r="E481" s="14">
        <v>0</v>
      </c>
      <c r="F481" s="14">
        <f t="shared" ref="F481:F486" si="227">D481+E481</f>
        <v>3885262.84</v>
      </c>
      <c r="G481" s="14">
        <v>21927</v>
      </c>
      <c r="H481" s="14">
        <f t="shared" ref="H481:H486" si="228">SUM(F481:G481)</f>
        <v>3907189.84</v>
      </c>
      <c r="I481" s="14">
        <v>171101</v>
      </c>
      <c r="J481" s="14">
        <f t="shared" ref="J481:J486" si="229">SUM(H481:I481)</f>
        <v>4078290.84</v>
      </c>
    </row>
    <row r="482" spans="1:10" ht="10.5" customHeight="1" x14ac:dyDescent="0.2">
      <c r="A482" s="5">
        <f t="shared" si="213"/>
        <v>482</v>
      </c>
      <c r="B482" s="62" t="s">
        <v>193</v>
      </c>
      <c r="C482" s="30"/>
      <c r="D482" s="17">
        <f>6247379.83-D481</f>
        <v>2362116.9900000002</v>
      </c>
      <c r="E482" s="14">
        <v>0</v>
      </c>
      <c r="F482" s="14">
        <f t="shared" si="227"/>
        <v>2362116.9900000002</v>
      </c>
      <c r="G482" s="14">
        <v>0</v>
      </c>
      <c r="H482" s="14">
        <f t="shared" si="228"/>
        <v>2362116.9900000002</v>
      </c>
      <c r="I482" s="14">
        <v>0</v>
      </c>
      <c r="J482" s="14">
        <f t="shared" si="229"/>
        <v>2362116.9900000002</v>
      </c>
    </row>
    <row r="483" spans="1:10" ht="10.5" customHeight="1" x14ac:dyDescent="0.2">
      <c r="A483" s="5">
        <f t="shared" si="213"/>
        <v>483</v>
      </c>
      <c r="B483" s="30" t="s">
        <v>66</v>
      </c>
      <c r="C483" s="30" t="s">
        <v>350</v>
      </c>
      <c r="D483" s="70">
        <f>SUM(D481:D482)</f>
        <v>6247379.8300000001</v>
      </c>
      <c r="E483" s="14">
        <f>SUM(E481:E482)</f>
        <v>0</v>
      </c>
      <c r="F483" s="14">
        <f t="shared" si="227"/>
        <v>6247379.8300000001</v>
      </c>
      <c r="G483" s="14">
        <f t="shared" ref="G483:I483" si="230">SUM(G481:G482)</f>
        <v>21927</v>
      </c>
      <c r="H483" s="14">
        <f t="shared" si="228"/>
        <v>6269306.8300000001</v>
      </c>
      <c r="I483" s="14">
        <f t="shared" si="230"/>
        <v>171101</v>
      </c>
      <c r="J483" s="14">
        <f t="shared" si="229"/>
        <v>6440407.8300000001</v>
      </c>
    </row>
    <row r="484" spans="1:10" ht="10.5" customHeight="1" x14ac:dyDescent="0.2">
      <c r="A484" s="5">
        <f t="shared" si="213"/>
        <v>484</v>
      </c>
      <c r="B484" s="66" t="s">
        <v>351</v>
      </c>
      <c r="C484" s="30"/>
      <c r="D484" s="17">
        <v>729076.88</v>
      </c>
      <c r="E484" s="14">
        <v>0</v>
      </c>
      <c r="F484" s="14">
        <f t="shared" si="227"/>
        <v>729076.88</v>
      </c>
      <c r="G484" s="14">
        <v>2771</v>
      </c>
      <c r="H484" s="14">
        <f t="shared" si="228"/>
        <v>731847.88</v>
      </c>
      <c r="I484" s="14">
        <v>21620</v>
      </c>
      <c r="J484" s="14">
        <f t="shared" si="229"/>
        <v>753467.88</v>
      </c>
    </row>
    <row r="485" spans="1:10" ht="10.5" customHeight="1" x14ac:dyDescent="0.2">
      <c r="A485" s="5">
        <f t="shared" si="213"/>
        <v>485</v>
      </c>
      <c r="B485" s="66" t="s">
        <v>352</v>
      </c>
      <c r="C485" s="30"/>
      <c r="D485" s="17">
        <v>0</v>
      </c>
      <c r="E485" s="14">
        <v>0</v>
      </c>
      <c r="F485" s="14">
        <f t="shared" si="227"/>
        <v>0</v>
      </c>
      <c r="G485" s="14">
        <v>0</v>
      </c>
      <c r="H485" s="14">
        <f>SUM(F485:G485)</f>
        <v>0</v>
      </c>
      <c r="I485" s="14">
        <v>0</v>
      </c>
      <c r="J485" s="14">
        <f t="shared" si="229"/>
        <v>0</v>
      </c>
    </row>
    <row r="486" spans="1:10" ht="10.5" customHeight="1" x14ac:dyDescent="0.2">
      <c r="A486" s="5">
        <f t="shared" si="213"/>
        <v>486</v>
      </c>
      <c r="B486" s="30" t="s">
        <v>66</v>
      </c>
      <c r="C486" s="66" t="s">
        <v>353</v>
      </c>
      <c r="D486" s="14">
        <f>SUM(D475,D479,D483,D484,D485)</f>
        <v>169349493.51000002</v>
      </c>
      <c r="E486" s="14">
        <f>SUM(E475,E479,E483,E484,E485)</f>
        <v>-42111202.940000013</v>
      </c>
      <c r="F486" s="14">
        <f t="shared" si="227"/>
        <v>127238290.57000001</v>
      </c>
      <c r="G486" s="14">
        <f>SUM(G475,G479,G483,G484,G485)</f>
        <v>-41690962.390707001</v>
      </c>
      <c r="H486" s="14">
        <f t="shared" si="228"/>
        <v>85547328.179293007</v>
      </c>
      <c r="I486" s="14">
        <f t="shared" ref="I486" si="231">SUM(I475,I479,I483,I484,I485)</f>
        <v>215822</v>
      </c>
      <c r="J486" s="14">
        <f t="shared" si="229"/>
        <v>85763150.179293007</v>
      </c>
    </row>
    <row r="487" spans="1:10" ht="10.5" customHeight="1" x14ac:dyDescent="0.2">
      <c r="A487" s="5">
        <f t="shared" si="213"/>
        <v>487</v>
      </c>
      <c r="B487" s="30" t="s">
        <v>66</v>
      </c>
      <c r="C487" s="30" t="s">
        <v>66</v>
      </c>
      <c r="E487" s="14"/>
      <c r="J487" s="14"/>
    </row>
    <row r="488" spans="1:10" ht="10.5" customHeight="1" x14ac:dyDescent="0.2">
      <c r="A488" s="5">
        <f t="shared" si="213"/>
        <v>488</v>
      </c>
      <c r="B488" s="30" t="s">
        <v>314</v>
      </c>
      <c r="C488" s="30"/>
      <c r="E488" s="14"/>
      <c r="J488" s="14"/>
    </row>
    <row r="489" spans="1:10" ht="10.5" customHeight="1" x14ac:dyDescent="0.2">
      <c r="A489" s="5">
        <f t="shared" si="213"/>
        <v>489</v>
      </c>
      <c r="B489" s="66" t="s">
        <v>354</v>
      </c>
      <c r="C489" s="30"/>
      <c r="D489" s="17">
        <v>0</v>
      </c>
      <c r="E489" s="14">
        <v>0</v>
      </c>
      <c r="F489" s="14">
        <f t="shared" ref="F489:F497" si="232">D489+E489</f>
        <v>0</v>
      </c>
      <c r="G489" s="14">
        <v>0</v>
      </c>
      <c r="H489" s="14">
        <f t="shared" ref="H489:H497" si="233">SUM(F489:G489)</f>
        <v>0</v>
      </c>
      <c r="I489" s="14">
        <v>0</v>
      </c>
      <c r="J489" s="14">
        <f>SUM(H489:I489)</f>
        <v>0</v>
      </c>
    </row>
    <row r="490" spans="1:10" ht="10.5" customHeight="1" x14ac:dyDescent="0.2">
      <c r="A490" s="5">
        <f t="shared" si="213"/>
        <v>490</v>
      </c>
      <c r="B490" s="66" t="s">
        <v>355</v>
      </c>
      <c r="C490" s="30"/>
      <c r="D490" s="17">
        <v>101731.79</v>
      </c>
      <c r="E490" s="14">
        <v>0</v>
      </c>
      <c r="F490" s="14">
        <f>D490+E490</f>
        <v>101731.79</v>
      </c>
      <c r="G490" s="14">
        <v>317</v>
      </c>
      <c r="H490" s="14">
        <f>SUM(F490:G490)</f>
        <v>102048.79</v>
      </c>
      <c r="I490" s="14">
        <v>2476</v>
      </c>
      <c r="J490" s="14">
        <f>SUM(H490:I490)</f>
        <v>104524.79</v>
      </c>
    </row>
    <row r="491" spans="1:10" ht="10.5" customHeight="1" x14ac:dyDescent="0.2">
      <c r="A491" s="5">
        <f t="shared" si="213"/>
        <v>491</v>
      </c>
      <c r="B491" s="66" t="s">
        <v>356</v>
      </c>
      <c r="C491" s="30"/>
      <c r="E491" s="14"/>
      <c r="F491" s="14">
        <f t="shared" si="232"/>
        <v>0</v>
      </c>
      <c r="H491" s="14">
        <f t="shared" si="233"/>
        <v>0</v>
      </c>
      <c r="I491" s="14">
        <v>0</v>
      </c>
      <c r="J491" s="14"/>
    </row>
    <row r="492" spans="1:10" ht="10.5" customHeight="1" x14ac:dyDescent="0.2">
      <c r="A492" s="5">
        <f t="shared" si="213"/>
        <v>492</v>
      </c>
      <c r="B492" s="62" t="s">
        <v>307</v>
      </c>
      <c r="C492" s="30"/>
      <c r="D492" s="17">
        <f>D950</f>
        <v>63357.32</v>
      </c>
      <c r="E492" s="14">
        <v>0</v>
      </c>
      <c r="F492" s="14">
        <f t="shared" si="232"/>
        <v>63357.32</v>
      </c>
      <c r="G492" s="14">
        <v>346</v>
      </c>
      <c r="H492" s="14">
        <f>SUM(F492:G492)</f>
        <v>63703.32</v>
      </c>
      <c r="I492" s="14">
        <v>2696</v>
      </c>
      <c r="J492" s="14">
        <f t="shared" ref="J492:J497" si="234">SUM(H492:I492)</f>
        <v>66399.320000000007</v>
      </c>
    </row>
    <row r="493" spans="1:10" ht="10.5" customHeight="1" x14ac:dyDescent="0.2">
      <c r="A493" s="5">
        <f t="shared" si="213"/>
        <v>493</v>
      </c>
      <c r="B493" s="62" t="s">
        <v>193</v>
      </c>
      <c r="C493" s="30"/>
      <c r="D493" s="17">
        <f>109759.61-D492</f>
        <v>46402.29</v>
      </c>
      <c r="E493" s="14">
        <v>0</v>
      </c>
      <c r="F493" s="14">
        <f t="shared" si="232"/>
        <v>46402.29</v>
      </c>
      <c r="G493" s="14">
        <v>0</v>
      </c>
      <c r="H493" s="14">
        <f>SUM(F493:G493)</f>
        <v>46402.29</v>
      </c>
      <c r="I493" s="14">
        <v>0</v>
      </c>
      <c r="J493" s="14">
        <f t="shared" si="234"/>
        <v>46402.29</v>
      </c>
    </row>
    <row r="494" spans="1:10" ht="10.5" customHeight="1" x14ac:dyDescent="0.2">
      <c r="A494" s="5">
        <f t="shared" si="213"/>
        <v>494</v>
      </c>
      <c r="B494" s="30" t="s">
        <v>66</v>
      </c>
      <c r="C494" s="30" t="s">
        <v>357</v>
      </c>
      <c r="D494" s="70">
        <f>SUM(D492:D493)</f>
        <v>109759.61</v>
      </c>
      <c r="E494" s="14">
        <f>SUM(E492:E493)</f>
        <v>0</v>
      </c>
      <c r="F494" s="14">
        <f t="shared" si="232"/>
        <v>109759.61</v>
      </c>
      <c r="G494" s="14">
        <f>SUM(G492:G493)</f>
        <v>346</v>
      </c>
      <c r="H494" s="14">
        <f t="shared" si="233"/>
        <v>110105.61</v>
      </c>
      <c r="I494" s="14">
        <f t="shared" ref="I494" si="235">SUM(I492:I493)</f>
        <v>2696</v>
      </c>
      <c r="J494" s="14">
        <f t="shared" si="234"/>
        <v>112801.61</v>
      </c>
    </row>
    <row r="495" spans="1:10" ht="10.5" customHeight="1" x14ac:dyDescent="0.2">
      <c r="A495" s="5">
        <f t="shared" si="213"/>
        <v>495</v>
      </c>
      <c r="B495" s="66" t="s">
        <v>358</v>
      </c>
      <c r="C495" s="30"/>
      <c r="D495" s="17">
        <v>3223774.52</v>
      </c>
      <c r="E495" s="14">
        <v>0</v>
      </c>
      <c r="F495" s="14">
        <f t="shared" si="232"/>
        <v>3223774.52</v>
      </c>
      <c r="G495" s="14">
        <v>2806</v>
      </c>
      <c r="H495" s="14">
        <f>SUM(F495:G495)</f>
        <v>3226580.52</v>
      </c>
      <c r="I495" s="14">
        <v>21897</v>
      </c>
      <c r="J495" s="14">
        <f t="shared" si="234"/>
        <v>3248477.52</v>
      </c>
    </row>
    <row r="496" spans="1:10" ht="10.5" customHeight="1" x14ac:dyDescent="0.2">
      <c r="A496" s="5">
        <f t="shared" si="213"/>
        <v>496</v>
      </c>
      <c r="B496" s="30" t="s">
        <v>66</v>
      </c>
      <c r="C496" s="66" t="s">
        <v>359</v>
      </c>
      <c r="D496" s="14">
        <f>SUM(D489:D490,D494:D495)</f>
        <v>3435265.92</v>
      </c>
      <c r="E496" s="14">
        <f>SUM(E489:E490,E494:E495)</f>
        <v>0</v>
      </c>
      <c r="F496" s="14">
        <f t="shared" si="232"/>
        <v>3435265.92</v>
      </c>
      <c r="G496" s="14">
        <f>SUM(G489:G490,G494:G495)</f>
        <v>3469</v>
      </c>
      <c r="H496" s="14">
        <f t="shared" si="233"/>
        <v>3438734.92</v>
      </c>
      <c r="I496" s="14">
        <f>SUM(I489:I490,I494:I495)</f>
        <v>27069</v>
      </c>
      <c r="J496" s="14">
        <f t="shared" si="234"/>
        <v>3465803.92</v>
      </c>
    </row>
    <row r="497" spans="1:10" ht="10.5" customHeight="1" x14ac:dyDescent="0.2">
      <c r="A497" s="5">
        <f t="shared" si="213"/>
        <v>497</v>
      </c>
      <c r="B497" s="30" t="s">
        <v>66</v>
      </c>
      <c r="C497" s="30" t="s">
        <v>360</v>
      </c>
      <c r="D497" s="14">
        <f>SUM(D486,D496)</f>
        <v>172784759.43000001</v>
      </c>
      <c r="E497" s="14">
        <f>SUM(E486,E496)</f>
        <v>-42111202.940000013</v>
      </c>
      <c r="F497" s="14">
        <f t="shared" si="232"/>
        <v>130673556.48999999</v>
      </c>
      <c r="G497" s="14">
        <f>SUM(G486,G496)</f>
        <v>-41687493.390707001</v>
      </c>
      <c r="H497" s="14">
        <f t="shared" si="233"/>
        <v>88986063.099292994</v>
      </c>
      <c r="I497" s="14">
        <f t="shared" ref="I497" si="236">SUM(I486,I496)</f>
        <v>242891</v>
      </c>
      <c r="J497" s="14">
        <f t="shared" si="234"/>
        <v>89228954.099292994</v>
      </c>
    </row>
    <row r="498" spans="1:10" ht="10.5" customHeight="1" x14ac:dyDescent="0.2">
      <c r="A498" s="5">
        <f t="shared" si="213"/>
        <v>498</v>
      </c>
      <c r="B498" s="30" t="str">
        <f>" "</f>
        <v xml:space="preserve"> </v>
      </c>
      <c r="C498" s="30"/>
      <c r="E498" s="14"/>
      <c r="J498" s="14"/>
    </row>
    <row r="499" spans="1:10" ht="10.5" customHeight="1" x14ac:dyDescent="0.2">
      <c r="A499" s="5">
        <f t="shared" si="213"/>
        <v>499</v>
      </c>
      <c r="B499" s="30" t="s">
        <v>361</v>
      </c>
      <c r="C499" s="30"/>
      <c r="E499" s="14"/>
      <c r="J499" s="14"/>
    </row>
    <row r="500" spans="1:10" ht="10.5" customHeight="1" x14ac:dyDescent="0.2">
      <c r="A500" s="5">
        <f t="shared" si="213"/>
        <v>500</v>
      </c>
      <c r="B500" s="66" t="s">
        <v>362</v>
      </c>
      <c r="C500" s="30"/>
      <c r="D500" s="17"/>
      <c r="E500" s="17"/>
      <c r="F500" s="17"/>
      <c r="G500" s="17"/>
      <c r="H500" s="17"/>
      <c r="I500" s="17"/>
      <c r="J500" s="17"/>
    </row>
    <row r="501" spans="1:10" ht="10.5" customHeight="1" x14ac:dyDescent="0.2">
      <c r="A501" s="5">
        <f t="shared" si="213"/>
        <v>501</v>
      </c>
      <c r="B501" s="66"/>
      <c r="C501" s="66" t="s">
        <v>363</v>
      </c>
      <c r="D501" s="17">
        <f>194391488.38-D504</f>
        <v>185438626.38</v>
      </c>
      <c r="E501" s="14">
        <f>F501-D501</f>
        <v>-85973605.379999995</v>
      </c>
      <c r="F501" s="14">
        <v>99465021</v>
      </c>
      <c r="G501" s="14">
        <f>H501-F501</f>
        <v>61942764.397550493</v>
      </c>
      <c r="H501" s="14">
        <v>161407785.39755049</v>
      </c>
      <c r="I501" s="14">
        <v>0</v>
      </c>
      <c r="J501" s="14">
        <f t="shared" ref="J501:J508" si="237">SUM(H501:I501)</f>
        <v>161407785.39755049</v>
      </c>
    </row>
    <row r="502" spans="1:10" ht="10.5" customHeight="1" x14ac:dyDescent="0.2">
      <c r="A502" s="5">
        <f t="shared" si="213"/>
        <v>502</v>
      </c>
      <c r="B502" s="66"/>
      <c r="C502" s="66" t="s">
        <v>193</v>
      </c>
      <c r="D502" s="17">
        <v>0</v>
      </c>
      <c r="E502" s="14">
        <v>0</v>
      </c>
      <c r="F502" s="14">
        <f>SUM(D502:E502)</f>
        <v>0</v>
      </c>
      <c r="G502" s="14">
        <f>H502-F502</f>
        <v>0</v>
      </c>
      <c r="H502" s="14">
        <v>0</v>
      </c>
      <c r="I502" s="14">
        <v>0</v>
      </c>
      <c r="J502" s="14">
        <f t="shared" ref="J502" si="238">SUM(H502:I502)</f>
        <v>0</v>
      </c>
    </row>
    <row r="503" spans="1:10" ht="10.5" customHeight="1" x14ac:dyDescent="0.2">
      <c r="A503" s="5">
        <f t="shared" si="213"/>
        <v>503</v>
      </c>
      <c r="B503" s="66"/>
      <c r="C503" s="66" t="s">
        <v>364</v>
      </c>
      <c r="D503" s="17">
        <v>592578.5</v>
      </c>
      <c r="E503" s="14">
        <f>F503-D503</f>
        <v>-592578.5</v>
      </c>
      <c r="F503" s="14">
        <v>0</v>
      </c>
      <c r="G503" s="14">
        <v>0</v>
      </c>
      <c r="H503" s="14">
        <v>0</v>
      </c>
      <c r="I503" s="14">
        <v>0</v>
      </c>
      <c r="J503" s="14">
        <f t="shared" si="237"/>
        <v>0</v>
      </c>
    </row>
    <row r="504" spans="1:10" ht="10.5" customHeight="1" x14ac:dyDescent="0.2">
      <c r="A504" s="5">
        <f t="shared" si="213"/>
        <v>504</v>
      </c>
      <c r="B504" s="66"/>
      <c r="C504" s="66" t="s">
        <v>365</v>
      </c>
      <c r="D504" s="70">
        <v>8952862</v>
      </c>
      <c r="E504" s="14">
        <f>F504-D504</f>
        <v>1287141</v>
      </c>
      <c r="F504" s="14">
        <v>10240003</v>
      </c>
      <c r="G504" s="14">
        <f>H504-F504</f>
        <v>-897244.72000000067</v>
      </c>
      <c r="H504" s="14">
        <v>9342758.2799999993</v>
      </c>
      <c r="I504" s="14">
        <v>0</v>
      </c>
      <c r="J504" s="14">
        <f t="shared" si="237"/>
        <v>9342758.2799999993</v>
      </c>
    </row>
    <row r="505" spans="1:10" ht="10.5" customHeight="1" x14ac:dyDescent="0.2">
      <c r="A505" s="5">
        <f t="shared" si="213"/>
        <v>505</v>
      </c>
      <c r="B505" s="66"/>
      <c r="C505" s="66" t="s">
        <v>366</v>
      </c>
      <c r="D505" s="14">
        <f>SUM(D501:D504)</f>
        <v>194984066.88</v>
      </c>
      <c r="E505" s="14">
        <f>F505-D505</f>
        <v>-85279042.879999995</v>
      </c>
      <c r="F505" s="14">
        <f>SUM(F501:F504)</f>
        <v>109705024</v>
      </c>
      <c r="G505" s="14">
        <f>SUM(G501:G504)</f>
        <v>61045519.677550495</v>
      </c>
      <c r="H505" s="14">
        <f>SUM(F505:G505)</f>
        <v>170750543.67755049</v>
      </c>
      <c r="I505" s="14">
        <f t="shared" ref="I505" si="239">SUM(I501:I504)</f>
        <v>0</v>
      </c>
      <c r="J505" s="14">
        <f>SUM(H505:I505)</f>
        <v>170750543.67755049</v>
      </c>
    </row>
    <row r="506" spans="1:10" ht="10.5" customHeight="1" x14ac:dyDescent="0.2">
      <c r="A506" s="5">
        <f t="shared" si="213"/>
        <v>506</v>
      </c>
      <c r="B506" s="66" t="s">
        <v>367</v>
      </c>
      <c r="C506" s="30"/>
      <c r="D506" s="17">
        <v>216985377.50999999</v>
      </c>
      <c r="E506" s="14">
        <f>F506-D506</f>
        <v>-2536622.5099999905</v>
      </c>
      <c r="F506" s="14">
        <v>214448755</v>
      </c>
      <c r="G506" s="14">
        <f>H506-F506</f>
        <v>12270689.344915032</v>
      </c>
      <c r="H506" s="14">
        <v>226719444.34491503</v>
      </c>
      <c r="I506" s="14">
        <v>0</v>
      </c>
      <c r="J506" s="14">
        <f t="shared" ref="J506" si="240">SUM(H506:I506)</f>
        <v>226719444.34491503</v>
      </c>
    </row>
    <row r="507" spans="1:10" ht="10.5" customHeight="1" x14ac:dyDescent="0.2">
      <c r="A507" s="5">
        <f t="shared" si="213"/>
        <v>507</v>
      </c>
      <c r="B507" s="30" t="s">
        <v>66</v>
      </c>
      <c r="C507" s="71" t="s">
        <v>368</v>
      </c>
      <c r="D507" s="14">
        <f>D505+D506</f>
        <v>411969444.38999999</v>
      </c>
      <c r="E507" s="14">
        <f>E505+E506</f>
        <v>-87815665.389999986</v>
      </c>
      <c r="F507" s="14">
        <f t="shared" ref="F507:I507" si="241">F505+F506</f>
        <v>324153779</v>
      </c>
      <c r="G507" s="14">
        <f t="shared" si="241"/>
        <v>73316209.022465527</v>
      </c>
      <c r="H507" s="14">
        <f t="shared" si="241"/>
        <v>397469988.02246553</v>
      </c>
      <c r="I507" s="14">
        <f t="shared" si="241"/>
        <v>0</v>
      </c>
      <c r="J507" s="14">
        <f>J505+J506</f>
        <v>397469988.02246553</v>
      </c>
    </row>
    <row r="508" spans="1:10" ht="10.5" customHeight="1" x14ac:dyDescent="0.2">
      <c r="A508" s="5">
        <f t="shared" si="213"/>
        <v>508</v>
      </c>
      <c r="B508" s="66" t="s">
        <v>369</v>
      </c>
      <c r="C508" s="30"/>
      <c r="D508" s="17">
        <v>84.21</v>
      </c>
      <c r="E508" s="14">
        <v>0</v>
      </c>
      <c r="F508" s="14">
        <f t="shared" ref="F508:F528" si="242">D508+E508</f>
        <v>84.21</v>
      </c>
      <c r="G508" s="14">
        <v>0</v>
      </c>
      <c r="H508" s="14">
        <f>SUM(F508:G508)</f>
        <v>84.21</v>
      </c>
      <c r="I508" s="14">
        <v>3</v>
      </c>
      <c r="J508" s="14">
        <f t="shared" si="237"/>
        <v>87.21</v>
      </c>
    </row>
    <row r="509" spans="1:10" ht="10.5" customHeight="1" x14ac:dyDescent="0.2">
      <c r="A509" s="5">
        <f t="shared" si="213"/>
        <v>509</v>
      </c>
      <c r="B509" s="66" t="s">
        <v>370</v>
      </c>
      <c r="C509" s="30"/>
      <c r="D509" s="17"/>
      <c r="E509" s="17"/>
      <c r="F509" s="17"/>
      <c r="G509" s="17"/>
      <c r="H509" s="17"/>
      <c r="I509" s="17"/>
      <c r="J509" s="17"/>
    </row>
    <row r="510" spans="1:10" ht="10.5" customHeight="1" x14ac:dyDescent="0.2">
      <c r="A510" s="5">
        <f t="shared" si="213"/>
        <v>510</v>
      </c>
      <c r="B510" s="66"/>
      <c r="C510" s="8" t="s">
        <v>371</v>
      </c>
      <c r="D510" s="70">
        <v>87728727.819999993</v>
      </c>
      <c r="E510" s="14">
        <f>-D510</f>
        <v>-87728727.819999993</v>
      </c>
      <c r="F510" s="14">
        <f>D510+E510</f>
        <v>0</v>
      </c>
      <c r="G510" s="14">
        <v>0</v>
      </c>
      <c r="H510" s="14">
        <f t="shared" ref="H510:H517" si="243">SUM(F510:G510)</f>
        <v>0</v>
      </c>
      <c r="I510" s="14">
        <v>0</v>
      </c>
      <c r="J510" s="14">
        <f t="shared" ref="J510:J517" si="244">SUM(H510:I510)</f>
        <v>0</v>
      </c>
    </row>
    <row r="511" spans="1:10" ht="10.5" customHeight="1" x14ac:dyDescent="0.2">
      <c r="A511" s="5">
        <f t="shared" si="213"/>
        <v>511</v>
      </c>
      <c r="B511" s="66"/>
      <c r="C511" s="8" t="s">
        <v>372</v>
      </c>
      <c r="D511" s="70">
        <v>2027979.78</v>
      </c>
      <c r="E511" s="14">
        <f>-D511</f>
        <v>-2027979.78</v>
      </c>
      <c r="F511" s="14">
        <f>D511+E511</f>
        <v>0</v>
      </c>
      <c r="G511" s="14">
        <v>0</v>
      </c>
      <c r="H511" s="14">
        <f t="shared" si="243"/>
        <v>0</v>
      </c>
      <c r="I511" s="14">
        <v>0</v>
      </c>
      <c r="J511" s="14">
        <f t="shared" si="244"/>
        <v>0</v>
      </c>
    </row>
    <row r="512" spans="1:10" ht="10.5" customHeight="1" x14ac:dyDescent="0.2">
      <c r="A512" s="5">
        <f t="shared" si="213"/>
        <v>512</v>
      </c>
      <c r="B512" s="66"/>
      <c r="C512" s="8" t="s">
        <v>373</v>
      </c>
      <c r="D512" s="70">
        <v>7430223.3099999996</v>
      </c>
      <c r="E512" s="14">
        <v>-4</v>
      </c>
      <c r="F512" s="14">
        <f>SUM(D512:E512)</f>
        <v>7430219.3099999996</v>
      </c>
      <c r="G512" s="14">
        <v>32272</v>
      </c>
      <c r="H512" s="14">
        <f>SUM(F512:G512)</f>
        <v>7462491.3099999996</v>
      </c>
      <c r="I512" s="14">
        <v>251828</v>
      </c>
      <c r="J512" s="14">
        <f>SUM(H512:I512)</f>
        <v>7714319.3099999996</v>
      </c>
    </row>
    <row r="513" spans="1:10" ht="10.5" customHeight="1" x14ac:dyDescent="0.2">
      <c r="A513" s="5">
        <f t="shared" si="213"/>
        <v>513</v>
      </c>
      <c r="B513" s="66"/>
      <c r="C513" s="8" t="s">
        <v>374</v>
      </c>
      <c r="D513" s="70">
        <v>-14383038.140000001</v>
      </c>
      <c r="E513" s="14">
        <f>-D513</f>
        <v>14383038.140000001</v>
      </c>
      <c r="F513" s="14">
        <f>D513+E513</f>
        <v>0</v>
      </c>
      <c r="G513" s="14">
        <v>0</v>
      </c>
      <c r="H513" s="14">
        <f t="shared" ref="H513" si="245">SUM(F513:G513)</f>
        <v>0</v>
      </c>
      <c r="I513" s="14">
        <v>0</v>
      </c>
      <c r="J513" s="14">
        <f t="shared" ref="J513" si="246">SUM(H513:I513)</f>
        <v>0</v>
      </c>
    </row>
    <row r="514" spans="1:10" ht="10.5" customHeight="1" x14ac:dyDescent="0.2">
      <c r="A514" s="5">
        <f t="shared" si="213"/>
        <v>514</v>
      </c>
      <c r="B514" s="66"/>
      <c r="C514" s="71" t="s">
        <v>375</v>
      </c>
      <c r="D514" s="70">
        <f>SUM(D510:D513)</f>
        <v>82803892.769999996</v>
      </c>
      <c r="E514" s="70">
        <f>SUM(E510:E513)</f>
        <v>-75373673.459999993</v>
      </c>
      <c r="F514" s="14">
        <f>D514+E514</f>
        <v>7430219.3100000024</v>
      </c>
      <c r="G514" s="14">
        <f>SUM(G510:G513)</f>
        <v>32272</v>
      </c>
      <c r="H514" s="14">
        <f>SUM(F514:G514)</f>
        <v>7462491.3100000024</v>
      </c>
      <c r="I514" s="14">
        <f>SUM(I510:I513)</f>
        <v>251828</v>
      </c>
      <c r="J514" s="14">
        <f>SUM(H514:I514)</f>
        <v>7714319.3100000024</v>
      </c>
    </row>
    <row r="515" spans="1:10" ht="10.5" customHeight="1" x14ac:dyDescent="0.2">
      <c r="A515" s="5">
        <f t="shared" si="213"/>
        <v>515</v>
      </c>
      <c r="B515" s="30" t="s">
        <v>66</v>
      </c>
      <c r="C515" s="30" t="s">
        <v>376</v>
      </c>
      <c r="D515" s="14">
        <f>SUM(D507,D508,D514)</f>
        <v>494773421.36999995</v>
      </c>
      <c r="E515" s="14">
        <f>SUM(E507,E508,E514)</f>
        <v>-163189338.84999996</v>
      </c>
      <c r="F515" s="14">
        <f t="shared" si="242"/>
        <v>331584082.51999998</v>
      </c>
      <c r="G515" s="14">
        <f>SUM(G507,G508,G514)</f>
        <v>73348481.022465527</v>
      </c>
      <c r="H515" s="14">
        <f t="shared" si="243"/>
        <v>404932563.54246551</v>
      </c>
      <c r="I515" s="14">
        <f t="shared" ref="I515" si="247">SUM(I507,I508,I514)</f>
        <v>251831</v>
      </c>
      <c r="J515" s="14">
        <f t="shared" si="244"/>
        <v>405184394.54246551</v>
      </c>
    </row>
    <row r="516" spans="1:10" ht="10.5" customHeight="1" x14ac:dyDescent="0.2">
      <c r="A516" s="5">
        <f t="shared" si="213"/>
        <v>516</v>
      </c>
      <c r="B516" s="30" t="s">
        <v>66</v>
      </c>
      <c r="C516" s="30" t="s">
        <v>66</v>
      </c>
      <c r="E516" s="14"/>
      <c r="F516" s="14">
        <f t="shared" si="242"/>
        <v>0</v>
      </c>
      <c r="H516" s="14">
        <f t="shared" si="243"/>
        <v>0</v>
      </c>
      <c r="J516" s="14">
        <f t="shared" si="244"/>
        <v>0</v>
      </c>
    </row>
    <row r="517" spans="1:10" ht="10.5" customHeight="1" x14ac:dyDescent="0.2">
      <c r="A517" s="5">
        <f t="shared" si="213"/>
        <v>517</v>
      </c>
      <c r="B517" s="30" t="s">
        <v>66</v>
      </c>
      <c r="C517" s="30" t="s">
        <v>377</v>
      </c>
      <c r="D517" s="14">
        <f>SUM(D442,D471,D497,D515)</f>
        <v>855896980.96000004</v>
      </c>
      <c r="E517" s="14">
        <f>SUM(E442,E471,E497,E515)</f>
        <v>-265771666.31999996</v>
      </c>
      <c r="F517" s="14">
        <f t="shared" si="242"/>
        <v>590125314.6400001</v>
      </c>
      <c r="G517" s="14">
        <f>SUM(G442,G471,G497,G515)</f>
        <v>93214811.631758526</v>
      </c>
      <c r="H517" s="14">
        <f t="shared" si="243"/>
        <v>683340126.27175868</v>
      </c>
      <c r="I517" s="14">
        <f>SUM(I442,I471,I497,I515)</f>
        <v>1659187</v>
      </c>
      <c r="J517" s="14">
        <f t="shared" si="244"/>
        <v>684999313.27175868</v>
      </c>
    </row>
    <row r="518" spans="1:10" ht="10.5" customHeight="1" x14ac:dyDescent="0.2">
      <c r="A518" s="5">
        <f t="shared" si="213"/>
        <v>518</v>
      </c>
      <c r="B518" s="13" t="str">
        <f>B472</f>
        <v>TABLE 5-OPERATION &amp; MAINTENANCE EXPENSES</v>
      </c>
      <c r="E518" s="14"/>
      <c r="J518" s="14"/>
    </row>
    <row r="519" spans="1:10" ht="10.5" customHeight="1" x14ac:dyDescent="0.2">
      <c r="A519" s="5">
        <f t="shared" si="213"/>
        <v>519</v>
      </c>
      <c r="B519" s="30" t="s">
        <v>378</v>
      </c>
      <c r="C519" s="30"/>
      <c r="E519" s="14"/>
      <c r="J519" s="14"/>
    </row>
    <row r="520" spans="1:10" ht="10.5" customHeight="1" x14ac:dyDescent="0.2">
      <c r="A520" s="5">
        <f t="shared" ref="A520:A583" si="248">A519+1</f>
        <v>520</v>
      </c>
      <c r="B520" s="30" t="s">
        <v>303</v>
      </c>
      <c r="C520" s="30"/>
      <c r="E520" s="14"/>
      <c r="J520" s="14"/>
    </row>
    <row r="521" spans="1:10" ht="10.5" customHeight="1" x14ac:dyDescent="0.2">
      <c r="A521" s="5">
        <f t="shared" si="248"/>
        <v>521</v>
      </c>
      <c r="B521" s="66" t="s">
        <v>379</v>
      </c>
      <c r="C521" s="30"/>
      <c r="D521" s="17">
        <v>2806086.86</v>
      </c>
      <c r="E521" s="14">
        <v>-4302</v>
      </c>
      <c r="F521" s="14">
        <f t="shared" si="242"/>
        <v>2801784.86</v>
      </c>
      <c r="G521" s="14">
        <v>11568</v>
      </c>
      <c r="H521" s="14">
        <f t="shared" ref="H521:H524" si="249">SUM(F521:G521)</f>
        <v>2813352.86</v>
      </c>
      <c r="I521" s="14">
        <v>90270</v>
      </c>
      <c r="J521" s="14">
        <f t="shared" ref="J521:J527" si="250">SUM(H521:I521)</f>
        <v>2903622.86</v>
      </c>
    </row>
    <row r="522" spans="1:10" ht="10.5" customHeight="1" x14ac:dyDescent="0.2">
      <c r="A522" s="5">
        <f t="shared" si="248"/>
        <v>522</v>
      </c>
      <c r="B522" s="66" t="s">
        <v>380</v>
      </c>
      <c r="C522" s="30"/>
      <c r="D522" s="17">
        <v>5097850.13</v>
      </c>
      <c r="E522" s="14">
        <v>0</v>
      </c>
      <c r="F522" s="14">
        <f t="shared" si="242"/>
        <v>5097850.13</v>
      </c>
      <c r="G522" s="14">
        <v>17600</v>
      </c>
      <c r="H522" s="14">
        <f t="shared" si="249"/>
        <v>5115450.13</v>
      </c>
      <c r="I522" s="14">
        <v>137336</v>
      </c>
      <c r="J522" s="14">
        <f t="shared" si="250"/>
        <v>5252786.13</v>
      </c>
    </row>
    <row r="523" spans="1:10" ht="10.5" customHeight="1" x14ac:dyDescent="0.2">
      <c r="A523" s="5">
        <f t="shared" si="248"/>
        <v>523</v>
      </c>
      <c r="B523" s="66" t="s">
        <v>381</v>
      </c>
      <c r="C523" s="30"/>
      <c r="D523" s="17">
        <v>2589638.04</v>
      </c>
      <c r="E523" s="14">
        <v>-4</v>
      </c>
      <c r="F523" s="14">
        <f t="shared" si="242"/>
        <v>2589634.04</v>
      </c>
      <c r="G523" s="14">
        <v>10494</v>
      </c>
      <c r="H523" s="14">
        <f t="shared" si="249"/>
        <v>2600128.04</v>
      </c>
      <c r="I523" s="14">
        <v>81889</v>
      </c>
      <c r="J523" s="14">
        <f t="shared" si="250"/>
        <v>2682017.04</v>
      </c>
    </row>
    <row r="524" spans="1:10" ht="10.5" customHeight="1" x14ac:dyDescent="0.2">
      <c r="A524" s="5">
        <f t="shared" si="248"/>
        <v>524</v>
      </c>
      <c r="B524" s="66" t="s">
        <v>382</v>
      </c>
      <c r="C524" s="30"/>
      <c r="D524" s="17">
        <v>1249689.99</v>
      </c>
      <c r="E524" s="14">
        <v>0</v>
      </c>
      <c r="F524" s="14">
        <f t="shared" si="242"/>
        <v>1249689.99</v>
      </c>
      <c r="G524" s="14">
        <v>2854</v>
      </c>
      <c r="H524" s="14">
        <f t="shared" si="249"/>
        <v>1252543.99</v>
      </c>
      <c r="I524" s="14">
        <v>22271</v>
      </c>
      <c r="J524" s="14">
        <f t="shared" si="250"/>
        <v>1274814.99</v>
      </c>
    </row>
    <row r="525" spans="1:10" ht="10.5" customHeight="1" x14ac:dyDescent="0.2">
      <c r="A525" s="5">
        <f t="shared" si="248"/>
        <v>525</v>
      </c>
      <c r="B525" s="66" t="s">
        <v>383</v>
      </c>
      <c r="C525" s="30"/>
      <c r="D525" s="17">
        <v>13112150.15</v>
      </c>
      <c r="E525" s="14">
        <f>F525-D525</f>
        <v>-2849011.1500000004</v>
      </c>
      <c r="F525" s="14">
        <v>10263139</v>
      </c>
      <c r="G525" s="14">
        <f>H525-F525</f>
        <v>2698784.053060621</v>
      </c>
      <c r="H525" s="14">
        <v>12961923.053060621</v>
      </c>
      <c r="I525" s="14">
        <v>0</v>
      </c>
      <c r="J525" s="14">
        <f t="shared" si="250"/>
        <v>12961923.053060621</v>
      </c>
    </row>
    <row r="526" spans="1:10" ht="10.5" customHeight="1" x14ac:dyDescent="0.2">
      <c r="A526" s="5">
        <f t="shared" si="248"/>
        <v>526</v>
      </c>
      <c r="B526" s="66" t="s">
        <v>384</v>
      </c>
      <c r="C526" s="30"/>
      <c r="D526" s="17">
        <v>0</v>
      </c>
      <c r="E526" s="14">
        <v>0</v>
      </c>
      <c r="F526" s="14">
        <f t="shared" si="242"/>
        <v>0</v>
      </c>
      <c r="G526" s="14">
        <v>0</v>
      </c>
      <c r="H526" s="14">
        <f>SUM(F526:G526)</f>
        <v>0</v>
      </c>
      <c r="I526" s="14">
        <v>0</v>
      </c>
      <c r="J526" s="14">
        <f t="shared" si="250"/>
        <v>0</v>
      </c>
    </row>
    <row r="527" spans="1:10" ht="10.5" customHeight="1" x14ac:dyDescent="0.2">
      <c r="A527" s="5">
        <f t="shared" si="248"/>
        <v>527</v>
      </c>
      <c r="B527" s="66" t="s">
        <v>385</v>
      </c>
      <c r="C527" s="30"/>
      <c r="D527" s="17">
        <v>4528250.08</v>
      </c>
      <c r="E527" s="14">
        <v>0</v>
      </c>
      <c r="F527" s="14">
        <f t="shared" si="242"/>
        <v>4528250.08</v>
      </c>
      <c r="G527" s="14">
        <v>0</v>
      </c>
      <c r="H527" s="14">
        <f>SUM(F527:G527)</f>
        <v>4528250.08</v>
      </c>
      <c r="I527" s="14">
        <v>0</v>
      </c>
      <c r="J527" s="14">
        <f t="shared" si="250"/>
        <v>4528250.08</v>
      </c>
    </row>
    <row r="528" spans="1:10" ht="10.5" customHeight="1" x14ac:dyDescent="0.2">
      <c r="A528" s="5">
        <f t="shared" si="248"/>
        <v>528</v>
      </c>
      <c r="B528" s="30" t="s">
        <v>66</v>
      </c>
      <c r="C528" s="30" t="s">
        <v>386</v>
      </c>
      <c r="D528" s="14">
        <f>SUM(D521:D527)</f>
        <v>29383665.25</v>
      </c>
      <c r="E528" s="14">
        <f>SUM(E521:E527)</f>
        <v>-2853317.1500000004</v>
      </c>
      <c r="F528" s="14">
        <f t="shared" si="242"/>
        <v>26530348.100000001</v>
      </c>
      <c r="G528" s="14">
        <f t="shared" ref="G528" si="251">SUM(G521:G527)</f>
        <v>2741300.053060621</v>
      </c>
      <c r="H528" s="14">
        <f>SUM(F528:G528)</f>
        <v>29271648.153060623</v>
      </c>
      <c r="I528" s="14">
        <f t="shared" ref="I528" si="252">SUM(I521:I527)</f>
        <v>331766</v>
      </c>
      <c r="J528" s="14">
        <f>SUM(H528:I528)</f>
        <v>29603414.153060623</v>
      </c>
    </row>
    <row r="529" spans="1:10" ht="10.5" customHeight="1" x14ac:dyDescent="0.2">
      <c r="A529" s="5">
        <f t="shared" si="248"/>
        <v>529</v>
      </c>
      <c r="B529" s="30" t="s">
        <v>66</v>
      </c>
      <c r="C529" s="30" t="s">
        <v>66</v>
      </c>
      <c r="E529" s="14"/>
      <c r="J529" s="14"/>
    </row>
    <row r="530" spans="1:10" ht="10.5" customHeight="1" x14ac:dyDescent="0.2">
      <c r="A530" s="5">
        <f t="shared" si="248"/>
        <v>530</v>
      </c>
      <c r="B530" s="30" t="s">
        <v>314</v>
      </c>
      <c r="C530" s="30"/>
      <c r="E530" s="14"/>
      <c r="J530" s="14"/>
    </row>
    <row r="531" spans="1:10" ht="10.5" customHeight="1" x14ac:dyDescent="0.2">
      <c r="A531" s="5">
        <f t="shared" si="248"/>
        <v>531</v>
      </c>
      <c r="B531" s="66" t="s">
        <v>387</v>
      </c>
      <c r="C531" s="30"/>
      <c r="D531" s="17">
        <v>470609.99</v>
      </c>
      <c r="E531" s="14">
        <v>0</v>
      </c>
      <c r="F531" s="14">
        <f t="shared" ref="F531:F542" si="253">D531+E531</f>
        <v>470609.99</v>
      </c>
      <c r="G531" s="14">
        <v>1308</v>
      </c>
      <c r="H531" s="14">
        <f t="shared" ref="H531:H542" si="254">SUM(F531:G531)</f>
        <v>471917.99</v>
      </c>
      <c r="I531" s="14">
        <v>10210</v>
      </c>
      <c r="J531" s="14">
        <f t="shared" ref="J531:J536" si="255">SUM(H531:I531)</f>
        <v>482127.99</v>
      </c>
    </row>
    <row r="532" spans="1:10" ht="10.5" customHeight="1" x14ac:dyDescent="0.2">
      <c r="A532" s="5">
        <f t="shared" si="248"/>
        <v>532</v>
      </c>
      <c r="B532" s="66" t="s">
        <v>388</v>
      </c>
      <c r="C532" s="30"/>
      <c r="D532" s="17">
        <v>1703732.44</v>
      </c>
      <c r="E532" s="14">
        <v>0</v>
      </c>
      <c r="F532" s="14">
        <f t="shared" si="253"/>
        <v>1703732.44</v>
      </c>
      <c r="G532" s="14">
        <v>6971</v>
      </c>
      <c r="H532" s="14">
        <f t="shared" si="254"/>
        <v>1710703.44</v>
      </c>
      <c r="I532" s="14">
        <v>54400</v>
      </c>
      <c r="J532" s="14">
        <f t="shared" si="255"/>
        <v>1765103.44</v>
      </c>
    </row>
    <row r="533" spans="1:10" ht="10.5" customHeight="1" x14ac:dyDescent="0.2">
      <c r="A533" s="5">
        <f t="shared" si="248"/>
        <v>533</v>
      </c>
      <c r="B533" s="66" t="s">
        <v>389</v>
      </c>
      <c r="C533" s="30"/>
      <c r="D533" s="17">
        <v>3192924.82</v>
      </c>
      <c r="E533" s="14">
        <v>-4</v>
      </c>
      <c r="F533" s="14">
        <f t="shared" si="253"/>
        <v>3192920.82</v>
      </c>
      <c r="G533" s="14">
        <v>13762</v>
      </c>
      <c r="H533" s="14">
        <f t="shared" si="254"/>
        <v>3206682.82</v>
      </c>
      <c r="I533" s="14">
        <v>107391</v>
      </c>
      <c r="J533" s="14">
        <f t="shared" si="255"/>
        <v>3314073.82</v>
      </c>
    </row>
    <row r="534" spans="1:10" ht="10.5" customHeight="1" x14ac:dyDescent="0.2">
      <c r="A534" s="5">
        <f t="shared" si="248"/>
        <v>534</v>
      </c>
      <c r="B534" s="66" t="s">
        <v>390</v>
      </c>
      <c r="C534" s="30"/>
      <c r="D534" s="17">
        <v>4186984.25</v>
      </c>
      <c r="E534" s="14">
        <v>3047080</v>
      </c>
      <c r="F534" s="14">
        <f t="shared" si="253"/>
        <v>7234064.25</v>
      </c>
      <c r="G534" s="14">
        <v>1762385</v>
      </c>
      <c r="H534" s="14">
        <f t="shared" si="254"/>
        <v>8996449.25</v>
      </c>
      <c r="I534" s="14">
        <v>56380</v>
      </c>
      <c r="J534" s="14">
        <f t="shared" si="255"/>
        <v>9052829.25</v>
      </c>
    </row>
    <row r="535" spans="1:10" ht="10.5" customHeight="1" x14ac:dyDescent="0.2">
      <c r="A535" s="5">
        <f t="shared" si="248"/>
        <v>535</v>
      </c>
      <c r="B535" s="66" t="s">
        <v>391</v>
      </c>
      <c r="C535" s="30"/>
      <c r="D535" s="17">
        <v>759.6</v>
      </c>
      <c r="E535" s="14">
        <v>0</v>
      </c>
      <c r="F535" s="14">
        <f t="shared" si="253"/>
        <v>759.6</v>
      </c>
      <c r="G535" s="14">
        <v>3</v>
      </c>
      <c r="H535" s="14">
        <f t="shared" si="254"/>
        <v>762.6</v>
      </c>
      <c r="I535" s="14">
        <v>27</v>
      </c>
      <c r="J535" s="14">
        <f t="shared" si="255"/>
        <v>789.6</v>
      </c>
    </row>
    <row r="536" spans="1:10" ht="10.5" customHeight="1" x14ac:dyDescent="0.2">
      <c r="A536" s="5">
        <f t="shared" si="248"/>
        <v>536</v>
      </c>
      <c r="B536" s="30" t="s">
        <v>66</v>
      </c>
      <c r="C536" s="30" t="s">
        <v>392</v>
      </c>
      <c r="D536" s="14">
        <f>SUM(D531:D535)</f>
        <v>9555011.0999999996</v>
      </c>
      <c r="E536" s="14">
        <f>SUM(E531:E535)</f>
        <v>3047076</v>
      </c>
      <c r="F536" s="14">
        <f t="shared" si="253"/>
        <v>12602087.1</v>
      </c>
      <c r="G536" s="14">
        <f t="shared" ref="G536" si="256">SUM(G531:G535)</f>
        <v>1784429</v>
      </c>
      <c r="H536" s="14">
        <f t="shared" si="254"/>
        <v>14386516.1</v>
      </c>
      <c r="I536" s="14">
        <f>SUM(I531:I535)</f>
        <v>228408</v>
      </c>
      <c r="J536" s="14">
        <f t="shared" si="255"/>
        <v>14614924.1</v>
      </c>
    </row>
    <row r="537" spans="1:10" ht="10.5" customHeight="1" x14ac:dyDescent="0.2">
      <c r="A537" s="5">
        <f t="shared" si="248"/>
        <v>537</v>
      </c>
      <c r="B537" s="30"/>
      <c r="C537" s="30"/>
      <c r="E537" s="14"/>
      <c r="J537" s="14"/>
    </row>
    <row r="538" spans="1:10" ht="11.25" customHeight="1" x14ac:dyDescent="0.2">
      <c r="A538" s="5">
        <f t="shared" si="248"/>
        <v>538</v>
      </c>
      <c r="B538" s="30" t="s">
        <v>66</v>
      </c>
      <c r="C538" s="30" t="s">
        <v>393</v>
      </c>
      <c r="D538" s="14">
        <f>SUM(D528,D536)</f>
        <v>38938676.350000001</v>
      </c>
      <c r="E538" s="14">
        <f>SUM(E528,E536)</f>
        <v>193758.84999999963</v>
      </c>
      <c r="F538" s="14">
        <f>D538+E538</f>
        <v>39132435.200000003</v>
      </c>
      <c r="G538" s="14">
        <f>SUM(G528,G536)</f>
        <v>4525729.053060621</v>
      </c>
      <c r="H538" s="14">
        <f>SUM(F538:G538)</f>
        <v>43658164.253060624</v>
      </c>
      <c r="I538" s="14">
        <f>SUM(I528,I536)</f>
        <v>560174</v>
      </c>
      <c r="J538" s="14">
        <f>SUM(H538:I538)</f>
        <v>44218338.253060624</v>
      </c>
    </row>
    <row r="539" spans="1:10" ht="10.5" customHeight="1" x14ac:dyDescent="0.2">
      <c r="A539" s="5">
        <f t="shared" si="248"/>
        <v>539</v>
      </c>
      <c r="B539" s="30"/>
      <c r="C539" s="30"/>
      <c r="E539" s="14"/>
      <c r="J539" s="14"/>
    </row>
    <row r="540" spans="1:10" ht="10.5" customHeight="1" x14ac:dyDescent="0.2">
      <c r="A540" s="5">
        <f t="shared" si="248"/>
        <v>540</v>
      </c>
      <c r="B540" s="17" t="s">
        <v>394</v>
      </c>
      <c r="C540" s="17"/>
      <c r="E540" s="14"/>
      <c r="J540" s="14"/>
    </row>
    <row r="541" spans="1:10" ht="10.5" customHeight="1" x14ac:dyDescent="0.2">
      <c r="A541" s="5">
        <f t="shared" si="248"/>
        <v>541</v>
      </c>
      <c r="B541" s="17" t="s">
        <v>303</v>
      </c>
      <c r="C541" s="17"/>
      <c r="E541" s="14"/>
      <c r="J541" s="14"/>
    </row>
    <row r="542" spans="1:10" ht="10.5" customHeight="1" x14ac:dyDescent="0.2">
      <c r="A542" s="5">
        <f t="shared" si="248"/>
        <v>542</v>
      </c>
      <c r="B542" s="17" t="s">
        <v>395</v>
      </c>
      <c r="C542" s="17"/>
      <c r="D542" s="14">
        <v>552732.31000000006</v>
      </c>
      <c r="E542" s="14">
        <v>0</v>
      </c>
      <c r="F542" s="14">
        <f t="shared" si="253"/>
        <v>552732.31000000006</v>
      </c>
      <c r="G542" s="14">
        <v>0</v>
      </c>
      <c r="H542" s="14">
        <f t="shared" si="254"/>
        <v>552732.31000000006</v>
      </c>
      <c r="I542" s="14">
        <v>0</v>
      </c>
      <c r="J542" s="14">
        <f t="shared" ref="J542" si="257">SUM(H542:I542)</f>
        <v>552732.31000000006</v>
      </c>
    </row>
    <row r="543" spans="1:10" ht="10.5" customHeight="1" x14ac:dyDescent="0.2">
      <c r="A543" s="5">
        <f t="shared" si="248"/>
        <v>543</v>
      </c>
      <c r="B543" s="17"/>
      <c r="C543" s="17"/>
      <c r="E543" s="14"/>
      <c r="J543" s="14"/>
    </row>
    <row r="544" spans="1:10" ht="10.5" customHeight="1" x14ac:dyDescent="0.2">
      <c r="A544" s="5">
        <f t="shared" si="248"/>
        <v>544</v>
      </c>
      <c r="B544" s="17" t="s">
        <v>66</v>
      </c>
      <c r="C544" s="17" t="s">
        <v>396</v>
      </c>
      <c r="D544" s="14">
        <f>SUM(D542)</f>
        <v>552732.31000000006</v>
      </c>
      <c r="E544" s="14">
        <f>SUM(E540:E543)</f>
        <v>0</v>
      </c>
      <c r="F544" s="14">
        <f t="shared" ref="F544" si="258">D544+E544</f>
        <v>552732.31000000006</v>
      </c>
      <c r="G544" s="14">
        <f>SUM(G540:G543)</f>
        <v>0</v>
      </c>
      <c r="H544" s="14">
        <f t="shared" ref="H544" si="259">SUM(F544:G544)</f>
        <v>552732.31000000006</v>
      </c>
      <c r="I544" s="14">
        <f>SUM(I540:I543)</f>
        <v>0</v>
      </c>
      <c r="J544" s="14">
        <f t="shared" ref="J544" si="260">SUM(H544:I544)</f>
        <v>552732.31000000006</v>
      </c>
    </row>
    <row r="545" spans="1:10" ht="10.5" customHeight="1" x14ac:dyDescent="0.2">
      <c r="A545" s="5">
        <f t="shared" si="248"/>
        <v>545</v>
      </c>
      <c r="B545" s="17"/>
      <c r="C545" s="17"/>
      <c r="E545" s="14"/>
      <c r="J545" s="14"/>
    </row>
    <row r="546" spans="1:10" ht="10.5" customHeight="1" x14ac:dyDescent="0.2">
      <c r="A546" s="5">
        <f t="shared" si="248"/>
        <v>546</v>
      </c>
      <c r="B546" s="17" t="s">
        <v>397</v>
      </c>
      <c r="C546" s="17"/>
      <c r="E546" s="14"/>
      <c r="J546" s="14"/>
    </row>
    <row r="547" spans="1:10" ht="10.5" customHeight="1" x14ac:dyDescent="0.2">
      <c r="A547" s="5">
        <f t="shared" si="248"/>
        <v>547</v>
      </c>
      <c r="B547" s="17" t="s">
        <v>303</v>
      </c>
      <c r="C547" s="17"/>
      <c r="E547" s="14"/>
      <c r="J547" s="14"/>
    </row>
    <row r="548" spans="1:10" ht="10.5" customHeight="1" x14ac:dyDescent="0.2">
      <c r="A548" s="5">
        <f t="shared" si="248"/>
        <v>548</v>
      </c>
      <c r="B548" s="17" t="s">
        <v>398</v>
      </c>
      <c r="C548" s="17"/>
      <c r="D548" s="14">
        <v>0</v>
      </c>
      <c r="E548" s="14">
        <v>0</v>
      </c>
      <c r="F548" s="14">
        <f t="shared" ref="F548" si="261">D548+E548</f>
        <v>0</v>
      </c>
      <c r="G548" s="14">
        <f>H548-F548</f>
        <v>21546000</v>
      </c>
      <c r="H548" s="14">
        <v>21546000</v>
      </c>
      <c r="I548" s="14">
        <v>0</v>
      </c>
      <c r="J548" s="14">
        <f t="shared" ref="J548" si="262">SUM(H548:I548)</f>
        <v>21546000</v>
      </c>
    </row>
    <row r="549" spans="1:10" ht="10.5" customHeight="1" x14ac:dyDescent="0.2">
      <c r="A549" s="5">
        <f t="shared" si="248"/>
        <v>549</v>
      </c>
      <c r="B549" s="17"/>
      <c r="C549" s="17" t="s">
        <v>399</v>
      </c>
      <c r="D549" s="14">
        <f>SUM(D548)</f>
        <v>0</v>
      </c>
      <c r="E549" s="14">
        <f>SUM(E548)</f>
        <v>0</v>
      </c>
      <c r="F549" s="14">
        <f>D549+E549</f>
        <v>0</v>
      </c>
      <c r="G549" s="14">
        <f>SUM(G548)</f>
        <v>21546000</v>
      </c>
      <c r="H549" s="14">
        <f>SUM(F549:G549)</f>
        <v>21546000</v>
      </c>
      <c r="I549" s="14">
        <f>SUM(I548)</f>
        <v>0</v>
      </c>
      <c r="J549" s="14">
        <f>SUM(H549:I549)</f>
        <v>21546000</v>
      </c>
    </row>
    <row r="550" spans="1:10" ht="10.5" customHeight="1" x14ac:dyDescent="0.2">
      <c r="A550" s="5">
        <f t="shared" si="248"/>
        <v>550</v>
      </c>
      <c r="B550" s="17" t="s">
        <v>314</v>
      </c>
      <c r="C550" s="17"/>
      <c r="E550" s="14"/>
      <c r="J550" s="14"/>
    </row>
    <row r="551" spans="1:10" ht="10.5" customHeight="1" x14ac:dyDescent="0.2">
      <c r="A551" s="5">
        <f t="shared" si="248"/>
        <v>551</v>
      </c>
      <c r="B551" s="17" t="s">
        <v>400</v>
      </c>
      <c r="C551" s="17"/>
      <c r="D551" s="14">
        <v>0</v>
      </c>
      <c r="E551" s="14">
        <v>0</v>
      </c>
      <c r="F551" s="14">
        <f t="shared" ref="F551" si="263">D551+E551</f>
        <v>0</v>
      </c>
      <c r="G551" s="14">
        <v>1870920</v>
      </c>
      <c r="H551" s="14">
        <f>SUM(F551:G551)</f>
        <v>1870920</v>
      </c>
      <c r="I551" s="14">
        <v>0</v>
      </c>
      <c r="J551" s="14">
        <f t="shared" ref="J551" si="264">SUM(H551:I551)</f>
        <v>1870920</v>
      </c>
    </row>
    <row r="552" spans="1:10" ht="10.5" customHeight="1" x14ac:dyDescent="0.2">
      <c r="A552" s="5">
        <f t="shared" si="248"/>
        <v>552</v>
      </c>
      <c r="B552" s="17"/>
      <c r="C552" s="17" t="s">
        <v>401</v>
      </c>
      <c r="D552" s="14">
        <f>SUM(D551)</f>
        <v>0</v>
      </c>
      <c r="E552" s="14">
        <f>SUM(E551)</f>
        <v>0</v>
      </c>
      <c r="F552" s="14">
        <f>D552+E552</f>
        <v>0</v>
      </c>
      <c r="G552" s="14">
        <f>SUM(G551)</f>
        <v>1870920</v>
      </c>
      <c r="H552" s="14">
        <f>SUM(F552:G552)</f>
        <v>1870920</v>
      </c>
      <c r="I552" s="14">
        <f>SUM(I551)</f>
        <v>0</v>
      </c>
      <c r="J552" s="14">
        <f>SUM(H552:I552)</f>
        <v>1870920</v>
      </c>
    </row>
    <row r="553" spans="1:10" ht="10.5" customHeight="1" x14ac:dyDescent="0.2">
      <c r="A553" s="5">
        <f t="shared" si="248"/>
        <v>553</v>
      </c>
      <c r="B553" s="17"/>
      <c r="C553" s="17"/>
      <c r="E553" s="14"/>
      <c r="J553" s="14"/>
    </row>
    <row r="554" spans="1:10" ht="10.5" customHeight="1" x14ac:dyDescent="0.2">
      <c r="A554" s="5">
        <f t="shared" si="248"/>
        <v>554</v>
      </c>
      <c r="B554" s="17"/>
      <c r="C554" s="17" t="s">
        <v>402</v>
      </c>
      <c r="D554" s="14">
        <f>D549+D552</f>
        <v>0</v>
      </c>
      <c r="E554" s="14">
        <f t="shared" ref="E554:J554" si="265">E549+E552</f>
        <v>0</v>
      </c>
      <c r="F554" s="14">
        <f t="shared" si="265"/>
        <v>0</v>
      </c>
      <c r="G554" s="14">
        <f t="shared" si="265"/>
        <v>23416920</v>
      </c>
      <c r="H554" s="14">
        <f t="shared" si="265"/>
        <v>23416920</v>
      </c>
      <c r="I554" s="14">
        <f t="shared" si="265"/>
        <v>0</v>
      </c>
      <c r="J554" s="14">
        <f t="shared" si="265"/>
        <v>23416920</v>
      </c>
    </row>
    <row r="555" spans="1:10" ht="10.15" customHeight="1" x14ac:dyDescent="0.2">
      <c r="A555" s="5">
        <f t="shared" si="248"/>
        <v>555</v>
      </c>
      <c r="B555" s="30"/>
      <c r="C555" s="30"/>
      <c r="E555" s="14"/>
      <c r="J555" s="14"/>
    </row>
    <row r="556" spans="1:10" ht="10.5" customHeight="1" x14ac:dyDescent="0.2">
      <c r="A556" s="5">
        <f t="shared" si="248"/>
        <v>556</v>
      </c>
      <c r="B556" s="13" t="str">
        <f>B518</f>
        <v>TABLE 5-OPERATION &amp; MAINTENANCE EXPENSES</v>
      </c>
      <c r="E556" s="14"/>
      <c r="J556" s="14"/>
    </row>
    <row r="557" spans="1:10" ht="10.5" customHeight="1" x14ac:dyDescent="0.2">
      <c r="A557" s="5">
        <f t="shared" si="248"/>
        <v>557</v>
      </c>
      <c r="B557" s="30" t="s">
        <v>403</v>
      </c>
      <c r="C557" s="30"/>
      <c r="E557" s="14"/>
      <c r="J557" s="14"/>
    </row>
    <row r="558" spans="1:10" ht="10.5" customHeight="1" x14ac:dyDescent="0.2">
      <c r="A558" s="5">
        <f t="shared" si="248"/>
        <v>558</v>
      </c>
      <c r="B558" s="30" t="s">
        <v>303</v>
      </c>
      <c r="C558" s="30"/>
      <c r="E558" s="14"/>
      <c r="J558" s="14"/>
    </row>
    <row r="559" spans="1:10" ht="10.5" customHeight="1" x14ac:dyDescent="0.2">
      <c r="A559" s="5">
        <f t="shared" si="248"/>
        <v>559</v>
      </c>
      <c r="B559" s="66" t="s">
        <v>404</v>
      </c>
      <c r="C559" s="30"/>
      <c r="D559" s="17">
        <v>4981783.47</v>
      </c>
      <c r="E559" s="14">
        <v>-6365</v>
      </c>
      <c r="F559" s="14">
        <f>D559+E559</f>
        <v>4975418.47</v>
      </c>
      <c r="G559" s="14">
        <v>19103</v>
      </c>
      <c r="H559" s="14">
        <f>SUM(F559:G559)</f>
        <v>4994521.47</v>
      </c>
      <c r="I559" s="14">
        <v>149066</v>
      </c>
      <c r="J559" s="14">
        <f t="shared" ref="J559:J569" si="266">SUM(H559:I559)</f>
        <v>5143587.47</v>
      </c>
    </row>
    <row r="560" spans="1:10" ht="10.5" customHeight="1" x14ac:dyDescent="0.2">
      <c r="A560" s="5">
        <f t="shared" si="248"/>
        <v>560</v>
      </c>
      <c r="B560" s="66" t="s">
        <v>405</v>
      </c>
      <c r="C560" s="30"/>
      <c r="D560" s="17">
        <v>5988645.2599999998</v>
      </c>
      <c r="E560" s="14">
        <v>0</v>
      </c>
      <c r="F560" s="14">
        <f t="shared" ref="F560:F569" si="267">D560+E560</f>
        <v>5988645.2599999998</v>
      </c>
      <c r="G560" s="14">
        <v>29657</v>
      </c>
      <c r="H560" s="14">
        <f t="shared" ref="H560:H569" si="268">SUM(F560:G560)</f>
        <v>6018302.2599999998</v>
      </c>
      <c r="I560" s="14">
        <v>231424</v>
      </c>
      <c r="J560" s="14">
        <f t="shared" si="266"/>
        <v>6249726.2599999998</v>
      </c>
    </row>
    <row r="561" spans="1:10" ht="10.5" customHeight="1" x14ac:dyDescent="0.2">
      <c r="A561" s="5">
        <f t="shared" si="248"/>
        <v>561</v>
      </c>
      <c r="B561" s="66" t="s">
        <v>406</v>
      </c>
      <c r="C561" s="30"/>
      <c r="D561" s="17">
        <v>1953586.52</v>
      </c>
      <c r="E561" s="14">
        <v>-4</v>
      </c>
      <c r="F561" s="14">
        <f t="shared" si="267"/>
        <v>1953582.52</v>
      </c>
      <c r="G561" s="14">
        <v>6025</v>
      </c>
      <c r="H561" s="14">
        <f t="shared" si="268"/>
        <v>1959607.52</v>
      </c>
      <c r="I561" s="14">
        <v>47019</v>
      </c>
      <c r="J561" s="14">
        <f t="shared" si="266"/>
        <v>2006626.52</v>
      </c>
    </row>
    <row r="562" spans="1:10" ht="10.5" customHeight="1" x14ac:dyDescent="0.2">
      <c r="A562" s="5">
        <f t="shared" si="248"/>
        <v>562</v>
      </c>
      <c r="B562" s="66" t="s">
        <v>407</v>
      </c>
      <c r="C562" s="30"/>
      <c r="D562" s="17">
        <v>6679548.7800000003</v>
      </c>
      <c r="E562" s="14">
        <v>19268</v>
      </c>
      <c r="F562" s="14">
        <f t="shared" si="267"/>
        <v>6698816.7800000003</v>
      </c>
      <c r="G562" s="14">
        <v>41955</v>
      </c>
      <c r="H562" s="14">
        <f t="shared" si="268"/>
        <v>6740771.7800000003</v>
      </c>
      <c r="I562" s="14">
        <v>194110</v>
      </c>
      <c r="J562" s="14">
        <f t="shared" si="266"/>
        <v>6934881.7800000003</v>
      </c>
    </row>
    <row r="563" spans="1:10" ht="10.5" customHeight="1" x14ac:dyDescent="0.2">
      <c r="A563" s="5">
        <f t="shared" si="248"/>
        <v>563</v>
      </c>
      <c r="B563" s="66" t="s">
        <v>408</v>
      </c>
      <c r="C563" s="30"/>
      <c r="D563" s="17">
        <v>6009462.3600000003</v>
      </c>
      <c r="E563" s="14">
        <v>-4307</v>
      </c>
      <c r="F563" s="14">
        <f t="shared" si="267"/>
        <v>6005155.3600000003</v>
      </c>
      <c r="G563" s="14">
        <v>8983</v>
      </c>
      <c r="H563" s="14">
        <f t="shared" si="268"/>
        <v>6014138.3600000003</v>
      </c>
      <c r="I563" s="14">
        <v>70099</v>
      </c>
      <c r="J563" s="14">
        <f t="shared" si="266"/>
        <v>6084237.3600000003</v>
      </c>
    </row>
    <row r="564" spans="1:10" ht="10.5" customHeight="1" x14ac:dyDescent="0.2">
      <c r="A564" s="5">
        <f t="shared" si="248"/>
        <v>564</v>
      </c>
      <c r="B564" s="66" t="s">
        <v>409</v>
      </c>
      <c r="C564" s="30"/>
      <c r="D564" s="17">
        <v>189.99</v>
      </c>
      <c r="E564" s="14">
        <v>0</v>
      </c>
      <c r="F564" s="14">
        <f t="shared" si="267"/>
        <v>189.99</v>
      </c>
      <c r="G564" s="14">
        <v>1</v>
      </c>
      <c r="H564" s="14">
        <f t="shared" si="268"/>
        <v>190.99</v>
      </c>
      <c r="I564" s="14">
        <v>6</v>
      </c>
      <c r="J564" s="14">
        <f t="shared" si="266"/>
        <v>196.99</v>
      </c>
    </row>
    <row r="565" spans="1:10" ht="10.5" customHeight="1" x14ac:dyDescent="0.2">
      <c r="A565" s="5">
        <f t="shared" si="248"/>
        <v>565</v>
      </c>
      <c r="B565" s="66" t="s">
        <v>410</v>
      </c>
      <c r="C565" s="30"/>
      <c r="D565" s="17">
        <v>6857271.8600000003</v>
      </c>
      <c r="E565" s="14">
        <v>0</v>
      </c>
      <c r="F565" s="14">
        <f t="shared" si="267"/>
        <v>6857271.8600000003</v>
      </c>
      <c r="G565" s="14">
        <v>28496</v>
      </c>
      <c r="H565" s="14">
        <f t="shared" si="268"/>
        <v>6885767.8600000003</v>
      </c>
      <c r="I565" s="14">
        <v>222360</v>
      </c>
      <c r="J565" s="14">
        <f t="shared" si="266"/>
        <v>7108127.8600000003</v>
      </c>
    </row>
    <row r="566" spans="1:10" ht="10.5" customHeight="1" x14ac:dyDescent="0.2">
      <c r="A566" s="5">
        <f t="shared" si="248"/>
        <v>566</v>
      </c>
      <c r="B566" s="66" t="s">
        <v>411</v>
      </c>
      <c r="C566" s="30"/>
      <c r="D566" s="17">
        <v>1261550.68</v>
      </c>
      <c r="E566" s="14">
        <v>0</v>
      </c>
      <c r="F566" s="14">
        <f t="shared" si="267"/>
        <v>1261550.68</v>
      </c>
      <c r="G566" s="14">
        <v>5293</v>
      </c>
      <c r="H566" s="14">
        <f t="shared" si="268"/>
        <v>1266843.68</v>
      </c>
      <c r="I566" s="14">
        <v>41306</v>
      </c>
      <c r="J566" s="14">
        <f t="shared" si="266"/>
        <v>1308149.68</v>
      </c>
    </row>
    <row r="567" spans="1:10" ht="10.5" customHeight="1" x14ac:dyDescent="0.2">
      <c r="A567" s="5">
        <f t="shared" si="248"/>
        <v>567</v>
      </c>
      <c r="B567" s="66" t="s">
        <v>412</v>
      </c>
      <c r="C567" s="30"/>
      <c r="D567" s="17">
        <v>4391126.0999999996</v>
      </c>
      <c r="E567" s="14">
        <v>-10522</v>
      </c>
      <c r="F567" s="14">
        <f t="shared" si="267"/>
        <v>4380604.0999999996</v>
      </c>
      <c r="G567" s="14">
        <v>15983</v>
      </c>
      <c r="H567" s="14">
        <f t="shared" si="268"/>
        <v>4396587.0999999996</v>
      </c>
      <c r="I567" s="14">
        <v>124718</v>
      </c>
      <c r="J567" s="14">
        <f t="shared" si="266"/>
        <v>4521305.0999999996</v>
      </c>
    </row>
    <row r="568" spans="1:10" ht="10.5" customHeight="1" x14ac:dyDescent="0.2">
      <c r="A568" s="5">
        <f t="shared" si="248"/>
        <v>568</v>
      </c>
      <c r="B568" s="66" t="s">
        <v>413</v>
      </c>
      <c r="C568" s="30"/>
      <c r="D568" s="17">
        <v>403629.44</v>
      </c>
      <c r="E568" s="14">
        <v>0</v>
      </c>
      <c r="F568" s="14">
        <f t="shared" si="267"/>
        <v>403629.44</v>
      </c>
      <c r="G568" s="14">
        <v>0</v>
      </c>
      <c r="H568" s="14">
        <f t="shared" si="268"/>
        <v>403629.44</v>
      </c>
      <c r="I568" s="14">
        <v>0</v>
      </c>
      <c r="J568" s="14">
        <f t="shared" si="266"/>
        <v>403629.44</v>
      </c>
    </row>
    <row r="569" spans="1:10" ht="10.5" customHeight="1" x14ac:dyDescent="0.2">
      <c r="A569" s="5">
        <f t="shared" si="248"/>
        <v>569</v>
      </c>
      <c r="B569" s="30" t="s">
        <v>66</v>
      </c>
      <c r="C569" s="66" t="s">
        <v>414</v>
      </c>
      <c r="D569" s="14">
        <f>SUM(D559:D568)</f>
        <v>38526794.460000001</v>
      </c>
      <c r="E569" s="14">
        <f>SUM(E559:E568)</f>
        <v>-1930</v>
      </c>
      <c r="F569" s="14">
        <f t="shared" si="267"/>
        <v>38524864.460000001</v>
      </c>
      <c r="G569" s="14">
        <f>SUM(G559:G568)</f>
        <v>155496</v>
      </c>
      <c r="H569" s="14">
        <f t="shared" si="268"/>
        <v>38680360.460000001</v>
      </c>
      <c r="I569" s="14">
        <f t="shared" ref="I569" si="269">SUM(I559:I568)</f>
        <v>1080108</v>
      </c>
      <c r="J569" s="14">
        <f t="shared" si="266"/>
        <v>39760468.460000001</v>
      </c>
    </row>
    <row r="570" spans="1:10" ht="10.5" customHeight="1" x14ac:dyDescent="0.2">
      <c r="A570" s="5">
        <f t="shared" si="248"/>
        <v>570</v>
      </c>
      <c r="B570" s="30" t="str">
        <f>" "</f>
        <v xml:space="preserve"> </v>
      </c>
      <c r="C570" s="30"/>
      <c r="E570" s="14"/>
      <c r="J570" s="14"/>
    </row>
    <row r="571" spans="1:10" ht="10.5" customHeight="1" x14ac:dyDescent="0.2">
      <c r="A571" s="5">
        <f t="shared" si="248"/>
        <v>571</v>
      </c>
      <c r="B571" s="30" t="s">
        <v>314</v>
      </c>
      <c r="C571" s="30"/>
      <c r="E571" s="14"/>
      <c r="J571" s="14"/>
    </row>
    <row r="572" spans="1:10" ht="10.5" customHeight="1" x14ac:dyDescent="0.2">
      <c r="A572" s="5">
        <f t="shared" si="248"/>
        <v>572</v>
      </c>
      <c r="B572" s="66" t="s">
        <v>415</v>
      </c>
      <c r="C572" s="30"/>
      <c r="D572" s="17">
        <v>9118.0499999999993</v>
      </c>
      <c r="E572" s="14">
        <v>0</v>
      </c>
      <c r="F572" s="14">
        <f t="shared" ref="F572:F582" si="270">D572+E572</f>
        <v>9118.0499999999993</v>
      </c>
      <c r="G572" s="14">
        <v>32</v>
      </c>
      <c r="H572" s="14">
        <f t="shared" ref="H572:H582" si="271">SUM(F572:G572)</f>
        <v>9150.0499999999993</v>
      </c>
      <c r="I572" s="14">
        <v>253</v>
      </c>
      <c r="J572" s="14">
        <f t="shared" ref="J572:J582" si="272">SUM(H572:I572)</f>
        <v>9403.0499999999993</v>
      </c>
    </row>
    <row r="573" spans="1:10" ht="10.5" customHeight="1" x14ac:dyDescent="0.2">
      <c r="A573" s="5">
        <f t="shared" si="248"/>
        <v>573</v>
      </c>
      <c r="B573" s="66" t="s">
        <v>416</v>
      </c>
      <c r="C573" s="30"/>
      <c r="D573" s="17">
        <v>0</v>
      </c>
      <c r="E573" s="14">
        <v>0</v>
      </c>
      <c r="F573" s="14">
        <f t="shared" si="270"/>
        <v>0</v>
      </c>
      <c r="G573" s="14">
        <v>0</v>
      </c>
      <c r="H573" s="14">
        <f t="shared" si="271"/>
        <v>0</v>
      </c>
      <c r="I573" s="14">
        <v>0</v>
      </c>
      <c r="J573" s="14">
        <f t="shared" si="272"/>
        <v>0</v>
      </c>
    </row>
    <row r="574" spans="1:10" ht="10.5" customHeight="1" x14ac:dyDescent="0.2">
      <c r="A574" s="5">
        <f t="shared" si="248"/>
        <v>574</v>
      </c>
      <c r="B574" s="66" t="s">
        <v>417</v>
      </c>
      <c r="C574" s="30"/>
      <c r="D574" s="17">
        <v>5336749.6500000004</v>
      </c>
      <c r="E574" s="14">
        <v>-4</v>
      </c>
      <c r="F574" s="14">
        <f t="shared" si="270"/>
        <v>5336745.6500000004</v>
      </c>
      <c r="G574" s="14">
        <v>18358</v>
      </c>
      <c r="H574" s="14">
        <f t="shared" si="271"/>
        <v>5355103.6500000004</v>
      </c>
      <c r="I574" s="14">
        <v>143249</v>
      </c>
      <c r="J574" s="14">
        <f t="shared" si="272"/>
        <v>5498352.6500000004</v>
      </c>
    </row>
    <row r="575" spans="1:10" ht="10.5" customHeight="1" x14ac:dyDescent="0.2">
      <c r="A575" s="5">
        <f t="shared" si="248"/>
        <v>575</v>
      </c>
      <c r="B575" s="66" t="s">
        <v>418</v>
      </c>
      <c r="C575" s="30"/>
      <c r="D575" s="17">
        <v>35534245.899999999</v>
      </c>
      <c r="E575" s="14">
        <v>7150702</v>
      </c>
      <c r="F575" s="14">
        <f t="shared" si="270"/>
        <v>42684947.899999999</v>
      </c>
      <c r="G575" s="14">
        <v>9805824</v>
      </c>
      <c r="H575" s="14">
        <f t="shared" si="271"/>
        <v>52490771.899999999</v>
      </c>
      <c r="I575" s="14">
        <v>278998</v>
      </c>
      <c r="J575" s="14">
        <f t="shared" si="272"/>
        <v>52769769.899999999</v>
      </c>
    </row>
    <row r="576" spans="1:10" ht="10.5" customHeight="1" x14ac:dyDescent="0.2">
      <c r="A576" s="5">
        <f t="shared" si="248"/>
        <v>576</v>
      </c>
      <c r="B576" s="66" t="s">
        <v>419</v>
      </c>
      <c r="C576" s="30"/>
      <c r="D576" s="17">
        <v>987659.42</v>
      </c>
      <c r="E576" s="14">
        <v>-7890</v>
      </c>
      <c r="F576" s="14">
        <f t="shared" si="270"/>
        <v>979769.42</v>
      </c>
      <c r="G576" s="14">
        <v>2480</v>
      </c>
      <c r="H576" s="14">
        <f t="shared" si="271"/>
        <v>982249.42</v>
      </c>
      <c r="I576" s="14">
        <v>19355</v>
      </c>
      <c r="J576" s="14">
        <f t="shared" si="272"/>
        <v>1001604.42</v>
      </c>
    </row>
    <row r="577" spans="1:10" ht="10.5" customHeight="1" x14ac:dyDescent="0.2">
      <c r="A577" s="5">
        <f t="shared" si="248"/>
        <v>577</v>
      </c>
      <c r="B577" s="66" t="s">
        <v>420</v>
      </c>
      <c r="C577" s="30"/>
      <c r="D577" s="17">
        <v>59807.199999999997</v>
      </c>
      <c r="E577" s="14">
        <v>0</v>
      </c>
      <c r="F577" s="14">
        <f t="shared" si="270"/>
        <v>59807.199999999997</v>
      </c>
      <c r="G577" s="14">
        <v>130</v>
      </c>
      <c r="H577" s="14">
        <f t="shared" si="271"/>
        <v>59937.2</v>
      </c>
      <c r="I577" s="14">
        <v>1016</v>
      </c>
      <c r="J577" s="14">
        <f t="shared" si="272"/>
        <v>60953.2</v>
      </c>
    </row>
    <row r="578" spans="1:10" ht="10.5" customHeight="1" x14ac:dyDescent="0.2">
      <c r="A578" s="5">
        <f t="shared" si="248"/>
        <v>578</v>
      </c>
      <c r="B578" s="66" t="s">
        <v>421</v>
      </c>
      <c r="C578" s="30"/>
      <c r="D578" s="17">
        <v>202840.95999999999</v>
      </c>
      <c r="E578" s="14">
        <v>0</v>
      </c>
      <c r="F578" s="14">
        <f t="shared" si="270"/>
        <v>202840.95999999999</v>
      </c>
      <c r="G578" s="14">
        <v>483</v>
      </c>
      <c r="H578" s="14">
        <f t="shared" si="271"/>
        <v>203323.96</v>
      </c>
      <c r="I578" s="14">
        <v>3763</v>
      </c>
      <c r="J578" s="14">
        <f t="shared" si="272"/>
        <v>207086.96</v>
      </c>
    </row>
    <row r="579" spans="1:10" ht="10.5" customHeight="1" x14ac:dyDescent="0.2">
      <c r="A579" s="5">
        <f t="shared" si="248"/>
        <v>579</v>
      </c>
      <c r="B579" s="66" t="s">
        <v>422</v>
      </c>
      <c r="C579" s="30"/>
      <c r="D579" s="17">
        <v>1017257.91</v>
      </c>
      <c r="E579" s="14">
        <v>0</v>
      </c>
      <c r="F579" s="14">
        <f t="shared" si="270"/>
        <v>1017257.91</v>
      </c>
      <c r="G579" s="14">
        <v>4560</v>
      </c>
      <c r="H579" s="14">
        <f t="shared" si="271"/>
        <v>1021817.91</v>
      </c>
      <c r="I579" s="14">
        <v>35582</v>
      </c>
      <c r="J579" s="14">
        <f t="shared" si="272"/>
        <v>1057399.9100000001</v>
      </c>
    </row>
    <row r="580" spans="1:10" ht="10.5" customHeight="1" x14ac:dyDescent="0.2">
      <c r="A580" s="5">
        <f t="shared" si="248"/>
        <v>580</v>
      </c>
      <c r="B580" s="66" t="s">
        <v>423</v>
      </c>
      <c r="C580" s="30"/>
      <c r="D580" s="17">
        <v>220008.68</v>
      </c>
      <c r="E580" s="14">
        <v>0</v>
      </c>
      <c r="F580" s="14">
        <f t="shared" si="270"/>
        <v>220008.68</v>
      </c>
      <c r="G580" s="14">
        <v>704</v>
      </c>
      <c r="H580" s="14">
        <f t="shared" si="271"/>
        <v>220712.68</v>
      </c>
      <c r="I580" s="14">
        <v>5497</v>
      </c>
      <c r="J580" s="14">
        <f t="shared" si="272"/>
        <v>226209.68</v>
      </c>
    </row>
    <row r="581" spans="1:10" ht="10.5" customHeight="1" x14ac:dyDescent="0.2">
      <c r="A581" s="5">
        <f t="shared" si="248"/>
        <v>581</v>
      </c>
      <c r="B581" s="30" t="s">
        <v>66</v>
      </c>
      <c r="C581" s="66" t="s">
        <v>424</v>
      </c>
      <c r="D581" s="14">
        <f>SUM(D572:D580)</f>
        <v>43367687.770000003</v>
      </c>
      <c r="E581" s="14">
        <f>SUM(E572:E580)</f>
        <v>7142808</v>
      </c>
      <c r="F581" s="14">
        <f t="shared" si="270"/>
        <v>50510495.770000003</v>
      </c>
      <c r="G581" s="14">
        <f t="shared" ref="G581" si="273">SUM(G572:G580)</f>
        <v>9832571</v>
      </c>
      <c r="H581" s="14">
        <f t="shared" si="271"/>
        <v>60343066.770000003</v>
      </c>
      <c r="I581" s="14">
        <f t="shared" ref="I581" si="274">SUM(I572:I580)</f>
        <v>487713</v>
      </c>
      <c r="J581" s="14">
        <f t="shared" si="272"/>
        <v>60830779.770000003</v>
      </c>
    </row>
    <row r="582" spans="1:10" ht="10.5" customHeight="1" x14ac:dyDescent="0.2">
      <c r="A582" s="5">
        <f t="shared" si="248"/>
        <v>582</v>
      </c>
      <c r="B582" s="30" t="s">
        <v>66</v>
      </c>
      <c r="C582" s="30" t="s">
        <v>425</v>
      </c>
      <c r="D582" s="14">
        <f>SUM(D569,D581)</f>
        <v>81894482.230000004</v>
      </c>
      <c r="E582" s="14">
        <f>SUM(E569,E581)</f>
        <v>7140878</v>
      </c>
      <c r="F582" s="14">
        <f t="shared" si="270"/>
        <v>89035360.230000004</v>
      </c>
      <c r="G582" s="14">
        <f t="shared" ref="G582" si="275">SUM(G569,G581)</f>
        <v>9988067</v>
      </c>
      <c r="H582" s="14">
        <f t="shared" si="271"/>
        <v>99023427.230000004</v>
      </c>
      <c r="I582" s="14">
        <f t="shared" ref="I582" si="276">SUM(I569,I581)</f>
        <v>1567821</v>
      </c>
      <c r="J582" s="14">
        <f t="shared" si="272"/>
        <v>100591248.23</v>
      </c>
    </row>
    <row r="583" spans="1:10" ht="10.5" customHeight="1" x14ac:dyDescent="0.2">
      <c r="A583" s="5">
        <f t="shared" si="248"/>
        <v>583</v>
      </c>
      <c r="B583" s="30" t="s">
        <v>66</v>
      </c>
      <c r="C583" s="30" t="s">
        <v>66</v>
      </c>
      <c r="E583" s="14"/>
      <c r="J583" s="14"/>
    </row>
    <row r="584" spans="1:10" ht="10.5" customHeight="1" x14ac:dyDescent="0.2">
      <c r="A584" s="5">
        <f t="shared" ref="A584:A647" si="277">A583+1</f>
        <v>584</v>
      </c>
      <c r="B584" s="30" t="s">
        <v>426</v>
      </c>
      <c r="C584" s="30"/>
      <c r="E584" s="14"/>
      <c r="J584" s="14"/>
    </row>
    <row r="585" spans="1:10" ht="10.5" customHeight="1" x14ac:dyDescent="0.2">
      <c r="A585" s="5">
        <f t="shared" si="277"/>
        <v>585</v>
      </c>
      <c r="B585" s="66" t="s">
        <v>427</v>
      </c>
      <c r="C585" s="30"/>
      <c r="D585" s="17">
        <v>917633.21</v>
      </c>
      <c r="E585" s="14">
        <v>-507</v>
      </c>
      <c r="F585" s="14">
        <f t="shared" ref="F585:F590" si="278">D585+E585</f>
        <v>917126.21</v>
      </c>
      <c r="G585" s="14">
        <v>4454</v>
      </c>
      <c r="H585" s="14">
        <f t="shared" ref="H585:H590" si="279">SUM(F585:G585)</f>
        <v>921580.21</v>
      </c>
      <c r="I585" s="14">
        <v>34753</v>
      </c>
      <c r="J585" s="14">
        <f t="shared" ref="J585:J590" si="280">SUM(H585:I585)</f>
        <v>956333.21</v>
      </c>
    </row>
    <row r="586" spans="1:10" ht="10.5" customHeight="1" x14ac:dyDescent="0.2">
      <c r="A586" s="5">
        <f t="shared" si="277"/>
        <v>586</v>
      </c>
      <c r="B586" s="66" t="s">
        <v>428</v>
      </c>
      <c r="C586" s="30"/>
      <c r="D586" s="17">
        <v>2086174.77</v>
      </c>
      <c r="E586" s="14">
        <v>0</v>
      </c>
      <c r="F586" s="14">
        <f t="shared" si="278"/>
        <v>2086174.77</v>
      </c>
      <c r="G586" s="14">
        <v>7428</v>
      </c>
      <c r="H586" s="14">
        <f t="shared" si="279"/>
        <v>2093602.77</v>
      </c>
      <c r="I586" s="14">
        <v>57963</v>
      </c>
      <c r="J586" s="14">
        <f t="shared" si="280"/>
        <v>2151565.77</v>
      </c>
    </row>
    <row r="587" spans="1:10" ht="10.5" customHeight="1" x14ac:dyDescent="0.2">
      <c r="A587" s="5">
        <f t="shared" si="277"/>
        <v>587</v>
      </c>
      <c r="B587" s="66" t="s">
        <v>429</v>
      </c>
      <c r="C587" s="30"/>
      <c r="D587" s="17">
        <v>17311613.620000001</v>
      </c>
      <c r="E587" s="14">
        <v>-26</v>
      </c>
      <c r="F587" s="14">
        <f t="shared" si="278"/>
        <v>17311587.620000001</v>
      </c>
      <c r="G587" s="14">
        <v>60166</v>
      </c>
      <c r="H587" s="14">
        <f t="shared" si="279"/>
        <v>17371753.620000001</v>
      </c>
      <c r="I587" s="14">
        <v>469494</v>
      </c>
      <c r="J587" s="14">
        <f t="shared" si="280"/>
        <v>17841247.620000001</v>
      </c>
    </row>
    <row r="588" spans="1:10" ht="10.5" customHeight="1" x14ac:dyDescent="0.2">
      <c r="A588" s="5">
        <f t="shared" si="277"/>
        <v>588</v>
      </c>
      <c r="B588" s="66" t="s">
        <v>430</v>
      </c>
      <c r="C588" s="30"/>
      <c r="D588" s="17">
        <v>4630705.49</v>
      </c>
      <c r="E588" s="14">
        <v>0</v>
      </c>
      <c r="F588" s="14">
        <f t="shared" si="278"/>
        <v>4630705.49</v>
      </c>
      <c r="G588" s="14">
        <v>0</v>
      </c>
      <c r="H588" s="14">
        <f t="shared" si="279"/>
        <v>4630705.49</v>
      </c>
      <c r="I588" s="14">
        <v>0</v>
      </c>
      <c r="J588" s="14">
        <f t="shared" si="280"/>
        <v>4630705.49</v>
      </c>
    </row>
    <row r="589" spans="1:10" ht="10.5" customHeight="1" x14ac:dyDescent="0.2">
      <c r="A589" s="5">
        <f t="shared" si="277"/>
        <v>589</v>
      </c>
      <c r="B589" s="66" t="s">
        <v>431</v>
      </c>
      <c r="C589" s="30"/>
      <c r="D589" s="17">
        <v>10.95</v>
      </c>
      <c r="E589" s="14">
        <v>0</v>
      </c>
      <c r="F589" s="14">
        <f t="shared" si="278"/>
        <v>10.95</v>
      </c>
      <c r="G589" s="14">
        <v>0</v>
      </c>
      <c r="H589" s="14">
        <f t="shared" si="279"/>
        <v>10.95</v>
      </c>
      <c r="I589" s="14">
        <v>0</v>
      </c>
      <c r="J589" s="14">
        <f t="shared" si="280"/>
        <v>10.95</v>
      </c>
    </row>
    <row r="590" spans="1:10" ht="10.5" customHeight="1" x14ac:dyDescent="0.2">
      <c r="A590" s="5">
        <f t="shared" si="277"/>
        <v>590</v>
      </c>
      <c r="B590" s="30" t="s">
        <v>66</v>
      </c>
      <c r="C590" s="30" t="s">
        <v>432</v>
      </c>
      <c r="D590" s="14">
        <f>SUM(D585:D589)</f>
        <v>24946138.040000003</v>
      </c>
      <c r="E590" s="14">
        <f>SUM(E585:E589)</f>
        <v>-533</v>
      </c>
      <c r="F590" s="14">
        <f t="shared" si="278"/>
        <v>24945605.040000003</v>
      </c>
      <c r="G590" s="14">
        <f>SUM(G585:G589)</f>
        <v>72048</v>
      </c>
      <c r="H590" s="14">
        <f t="shared" si="279"/>
        <v>25017653.040000003</v>
      </c>
      <c r="I590" s="14">
        <f t="shared" ref="I590" si="281">SUM(I585:I589)</f>
        <v>562210</v>
      </c>
      <c r="J590" s="14">
        <f t="shared" si="280"/>
        <v>25579863.040000003</v>
      </c>
    </row>
    <row r="591" spans="1:10" ht="10.5" customHeight="1" x14ac:dyDescent="0.2">
      <c r="A591" s="5">
        <f t="shared" si="277"/>
        <v>591</v>
      </c>
      <c r="B591" s="30"/>
      <c r="C591" s="30"/>
      <c r="E591" s="14"/>
      <c r="J591" s="14"/>
    </row>
    <row r="592" spans="1:10" ht="10.5" customHeight="1" x14ac:dyDescent="0.2">
      <c r="A592" s="5">
        <f t="shared" si="277"/>
        <v>592</v>
      </c>
      <c r="B592" s="30" t="s">
        <v>433</v>
      </c>
      <c r="C592" s="30"/>
      <c r="E592" s="14"/>
      <c r="J592" s="14"/>
    </row>
    <row r="593" spans="1:10" ht="10.5" customHeight="1" x14ac:dyDescent="0.2">
      <c r="A593" s="5">
        <f t="shared" si="277"/>
        <v>593</v>
      </c>
      <c r="B593" s="66" t="s">
        <v>434</v>
      </c>
      <c r="C593" s="30"/>
      <c r="D593" s="17">
        <v>1166372.17</v>
      </c>
      <c r="E593" s="14">
        <v>0</v>
      </c>
      <c r="F593" s="14">
        <f>D593+E593</f>
        <v>1166372.17</v>
      </c>
      <c r="G593" s="14">
        <v>5532</v>
      </c>
      <c r="H593" s="14">
        <f t="shared" ref="H593" si="282">SUM(F593:G593)</f>
        <v>1171904.17</v>
      </c>
      <c r="I593" s="14">
        <v>43166</v>
      </c>
      <c r="J593" s="14">
        <f>SUM(H593:I593)</f>
        <v>1215070.17</v>
      </c>
    </row>
    <row r="594" spans="1:10" ht="10.5" customHeight="1" x14ac:dyDescent="0.2">
      <c r="A594" s="5">
        <f t="shared" si="277"/>
        <v>594</v>
      </c>
      <c r="B594" s="66" t="s">
        <v>435</v>
      </c>
      <c r="C594" s="30"/>
      <c r="D594" s="17"/>
      <c r="E594" s="17"/>
      <c r="F594" s="17"/>
      <c r="G594" s="17"/>
      <c r="H594" s="17"/>
      <c r="I594" s="14">
        <v>0</v>
      </c>
      <c r="J594" s="17"/>
    </row>
    <row r="595" spans="1:10" ht="10.5" customHeight="1" x14ac:dyDescent="0.2">
      <c r="A595" s="5">
        <f t="shared" si="277"/>
        <v>595</v>
      </c>
      <c r="B595" s="62" t="s">
        <v>436</v>
      </c>
      <c r="C595" s="72" t="s">
        <v>437</v>
      </c>
      <c r="D595" s="17">
        <f>229085</f>
        <v>229085</v>
      </c>
      <c r="E595" s="14">
        <v>0</v>
      </c>
      <c r="F595" s="14">
        <f t="shared" ref="F595" si="283">D595+E595</f>
        <v>229085</v>
      </c>
      <c r="G595" s="14">
        <v>0</v>
      </c>
      <c r="H595" s="14">
        <f t="shared" ref="H595:H601" si="284">SUM(F595:G595)</f>
        <v>229085</v>
      </c>
      <c r="I595" s="14">
        <v>0</v>
      </c>
      <c r="J595" s="14">
        <f t="shared" ref="J595:J601" si="285">SUM(H595:I595)</f>
        <v>229085</v>
      </c>
    </row>
    <row r="596" spans="1:10" ht="10.5" customHeight="1" x14ac:dyDescent="0.2">
      <c r="A596" s="5">
        <f t="shared" si="277"/>
        <v>596</v>
      </c>
      <c r="B596" s="62" t="s">
        <v>438</v>
      </c>
      <c r="C596" s="72" t="s">
        <v>373</v>
      </c>
      <c r="D596" s="17">
        <f>D597-D595</f>
        <v>37326547.469999999</v>
      </c>
      <c r="E596" s="14">
        <f>-25912503.62+-1668198-484</f>
        <v>-27581185.620000001</v>
      </c>
      <c r="F596" s="14">
        <f t="shared" ref="F596:F601" si="286">D596+E596</f>
        <v>9745361.8499999978</v>
      </c>
      <c r="G596" s="14">
        <v>46684</v>
      </c>
      <c r="H596" s="14">
        <f t="shared" si="284"/>
        <v>9792045.8499999978</v>
      </c>
      <c r="I596" s="14">
        <v>364291</v>
      </c>
      <c r="J596" s="14">
        <f t="shared" si="285"/>
        <v>10156336.849999998</v>
      </c>
    </row>
    <row r="597" spans="1:10" ht="10.5" customHeight="1" x14ac:dyDescent="0.2">
      <c r="A597" s="5">
        <f t="shared" si="277"/>
        <v>597</v>
      </c>
      <c r="B597" s="30" t="s">
        <v>66</v>
      </c>
      <c r="C597" s="62" t="s">
        <v>439</v>
      </c>
      <c r="D597" s="70">
        <v>37555632.469999999</v>
      </c>
      <c r="E597" s="14">
        <f>SUM(E595:E596)</f>
        <v>-27581185.620000001</v>
      </c>
      <c r="F597" s="14">
        <f t="shared" si="286"/>
        <v>9974446.8499999978</v>
      </c>
      <c r="G597" s="14">
        <f>SUM(G595:G596)</f>
        <v>46684</v>
      </c>
      <c r="H597" s="14">
        <f t="shared" si="284"/>
        <v>10021130.849999998</v>
      </c>
      <c r="I597" s="14">
        <f>SUM(I595:I596)</f>
        <v>364291</v>
      </c>
      <c r="J597" s="14">
        <f t="shared" si="285"/>
        <v>10385421.849999998</v>
      </c>
    </row>
    <row r="598" spans="1:10" ht="10.5" customHeight="1" x14ac:dyDescent="0.2">
      <c r="A598" s="5">
        <f t="shared" si="277"/>
        <v>598</v>
      </c>
      <c r="B598" s="66" t="s">
        <v>440</v>
      </c>
      <c r="C598" s="30"/>
      <c r="D598" s="17">
        <v>342953.54</v>
      </c>
      <c r="E598" s="14">
        <v>0</v>
      </c>
      <c r="F598" s="14">
        <f t="shared" si="286"/>
        <v>342953.54</v>
      </c>
      <c r="G598" s="14">
        <v>0</v>
      </c>
      <c r="H598" s="14">
        <f t="shared" si="284"/>
        <v>342953.54</v>
      </c>
      <c r="I598" s="14">
        <v>0</v>
      </c>
      <c r="J598" s="14">
        <f t="shared" si="285"/>
        <v>342953.54</v>
      </c>
    </row>
    <row r="599" spans="1:10" ht="10.5" customHeight="1" x14ac:dyDescent="0.2">
      <c r="A599" s="5">
        <f t="shared" si="277"/>
        <v>599</v>
      </c>
      <c r="B599" s="66" t="s">
        <v>441</v>
      </c>
      <c r="C599" s="30"/>
      <c r="D599" s="17">
        <v>733642.99</v>
      </c>
      <c r="E599" s="14">
        <v>0</v>
      </c>
      <c r="F599" s="14">
        <f t="shared" si="286"/>
        <v>733642.99</v>
      </c>
      <c r="G599" s="14">
        <v>2148</v>
      </c>
      <c r="H599" s="14">
        <f t="shared" si="284"/>
        <v>735790.99</v>
      </c>
      <c r="I599" s="14">
        <v>16759</v>
      </c>
      <c r="J599" s="14">
        <f t="shared" si="285"/>
        <v>752549.99</v>
      </c>
    </row>
    <row r="600" spans="1:10" ht="10.5" customHeight="1" x14ac:dyDescent="0.2">
      <c r="A600" s="5">
        <f t="shared" si="277"/>
        <v>600</v>
      </c>
      <c r="B600" s="66" t="s">
        <v>442</v>
      </c>
      <c r="C600" s="30"/>
      <c r="D600" s="17">
        <v>0</v>
      </c>
      <c r="E600" s="14">
        <v>0</v>
      </c>
      <c r="F600" s="14">
        <f t="shared" si="286"/>
        <v>0</v>
      </c>
      <c r="G600" s="14">
        <v>0</v>
      </c>
      <c r="H600" s="14">
        <f t="shared" si="284"/>
        <v>0</v>
      </c>
      <c r="I600" s="14">
        <v>0</v>
      </c>
      <c r="J600" s="14">
        <f t="shared" si="285"/>
        <v>0</v>
      </c>
    </row>
    <row r="601" spans="1:10" ht="10.5" customHeight="1" x14ac:dyDescent="0.2">
      <c r="A601" s="5">
        <f t="shared" si="277"/>
        <v>601</v>
      </c>
      <c r="B601" s="30" t="s">
        <v>66</v>
      </c>
      <c r="C601" s="30" t="s">
        <v>443</v>
      </c>
      <c r="D601" s="14">
        <f>SUM(D593,D597,D598:D600)</f>
        <v>39798601.170000002</v>
      </c>
      <c r="E601" s="14">
        <f>SUM(E593,E597,E598:E600)</f>
        <v>-27581185.620000001</v>
      </c>
      <c r="F601" s="14">
        <f t="shared" si="286"/>
        <v>12217415.550000001</v>
      </c>
      <c r="G601" s="14">
        <f>SUM(G593,G597,G598:G600)</f>
        <v>54364</v>
      </c>
      <c r="H601" s="14">
        <f t="shared" si="284"/>
        <v>12271779.550000001</v>
      </c>
      <c r="I601" s="14">
        <f t="shared" ref="I601" si="287">SUM(I593,I597,I598:I599)</f>
        <v>424216</v>
      </c>
      <c r="J601" s="14">
        <f t="shared" si="285"/>
        <v>12695995.550000001</v>
      </c>
    </row>
    <row r="602" spans="1:10" ht="10.5" customHeight="1" x14ac:dyDescent="0.2">
      <c r="A602" s="5">
        <f t="shared" si="277"/>
        <v>602</v>
      </c>
      <c r="B602" s="13" t="str">
        <f>B556</f>
        <v>TABLE 5-OPERATION &amp; MAINTENANCE EXPENSES</v>
      </c>
      <c r="E602" s="14"/>
      <c r="J602" s="14"/>
    </row>
    <row r="603" spans="1:10" ht="10.5" customHeight="1" x14ac:dyDescent="0.2">
      <c r="A603" s="5">
        <f t="shared" si="277"/>
        <v>603</v>
      </c>
      <c r="B603" s="30" t="s">
        <v>444</v>
      </c>
      <c r="C603" s="30"/>
      <c r="E603" s="14"/>
      <c r="J603" s="14"/>
    </row>
    <row r="604" spans="1:10" ht="10.5" customHeight="1" x14ac:dyDescent="0.2">
      <c r="A604" s="5">
        <f t="shared" si="277"/>
        <v>604</v>
      </c>
      <c r="B604" s="66" t="s">
        <v>445</v>
      </c>
      <c r="C604" s="30"/>
      <c r="D604" s="17">
        <v>110254503.59</v>
      </c>
      <c r="E604" s="14">
        <v>-30168168</v>
      </c>
      <c r="F604" s="14">
        <f>D604+E604</f>
        <v>80086335.590000004</v>
      </c>
      <c r="G604" s="14">
        <f>398172+11949316</f>
        <v>12347488</v>
      </c>
      <c r="H604" s="14">
        <f t="shared" ref="H604:H607" si="288">SUM(F604:G604)</f>
        <v>92433823.590000004</v>
      </c>
      <c r="I604" s="14">
        <v>3107044</v>
      </c>
      <c r="J604" s="14">
        <f>SUM(H604:I604)</f>
        <v>95540867.590000004</v>
      </c>
    </row>
    <row r="605" spans="1:10" ht="10.5" customHeight="1" x14ac:dyDescent="0.2">
      <c r="A605" s="5">
        <f t="shared" si="277"/>
        <v>605</v>
      </c>
      <c r="B605" s="66" t="s">
        <v>446</v>
      </c>
      <c r="C605" s="30"/>
      <c r="D605" s="17">
        <v>19328502.059999999</v>
      </c>
      <c r="E605" s="14">
        <v>-29176</v>
      </c>
      <c r="F605" s="14">
        <f t="shared" ref="F605:F617" si="289">D605+E605</f>
        <v>19299326.059999999</v>
      </c>
      <c r="G605" s="14">
        <v>-686436.52</v>
      </c>
      <c r="H605" s="14">
        <f t="shared" si="288"/>
        <v>18612889.539999999</v>
      </c>
      <c r="I605" s="14">
        <v>18757</v>
      </c>
      <c r="J605" s="14">
        <f>SUM(H605:I605)</f>
        <v>18631646.539999999</v>
      </c>
    </row>
    <row r="606" spans="1:10" ht="10.5" customHeight="1" x14ac:dyDescent="0.2">
      <c r="A606" s="5">
        <f t="shared" si="277"/>
        <v>606</v>
      </c>
      <c r="B606" s="66" t="s">
        <v>447</v>
      </c>
      <c r="C606" s="30"/>
      <c r="D606" s="17">
        <v>-47555950.57</v>
      </c>
      <c r="E606" s="14">
        <v>0</v>
      </c>
      <c r="F606" s="14">
        <f t="shared" si="289"/>
        <v>-47555950.57</v>
      </c>
      <c r="G606" s="14">
        <v>-235937</v>
      </c>
      <c r="H606" s="14">
        <f t="shared" si="288"/>
        <v>-47791887.57</v>
      </c>
      <c r="I606" s="14">
        <v>-1841082</v>
      </c>
      <c r="J606" s="14">
        <f t="shared" ref="J606:J640" si="290">SUM(H606:I606)</f>
        <v>-49632969.57</v>
      </c>
    </row>
    <row r="607" spans="1:10" ht="10.5" customHeight="1" x14ac:dyDescent="0.2">
      <c r="A607" s="5">
        <f t="shared" si="277"/>
        <v>607</v>
      </c>
      <c r="B607" s="66" t="s">
        <v>448</v>
      </c>
      <c r="C607" s="30"/>
      <c r="D607" s="17">
        <v>10696561.65</v>
      </c>
      <c r="E607" s="14">
        <v>5104.5</v>
      </c>
      <c r="F607" s="14">
        <f t="shared" si="289"/>
        <v>10701666.15</v>
      </c>
      <c r="G607" s="14">
        <v>0</v>
      </c>
      <c r="H607" s="14">
        <f t="shared" si="288"/>
        <v>10701666.15</v>
      </c>
      <c r="I607" s="14">
        <v>0</v>
      </c>
      <c r="J607" s="14">
        <f t="shared" si="290"/>
        <v>10701666.15</v>
      </c>
    </row>
    <row r="608" spans="1:10" ht="10.5" customHeight="1" x14ac:dyDescent="0.2">
      <c r="A608" s="5">
        <f t="shared" si="277"/>
        <v>608</v>
      </c>
      <c r="B608" s="66" t="s">
        <v>449</v>
      </c>
      <c r="C608" s="30"/>
      <c r="E608" s="14"/>
      <c r="J608" s="14"/>
    </row>
    <row r="609" spans="1:10" ht="10.5" customHeight="1" x14ac:dyDescent="0.2">
      <c r="A609" s="5">
        <f t="shared" si="277"/>
        <v>609</v>
      </c>
      <c r="B609" s="62" t="s">
        <v>450</v>
      </c>
      <c r="C609" s="30"/>
      <c r="D609" s="17">
        <v>491124.02</v>
      </c>
      <c r="E609" s="14">
        <v>0</v>
      </c>
      <c r="F609" s="14">
        <f t="shared" si="289"/>
        <v>491124.02</v>
      </c>
      <c r="G609" s="14">
        <v>0</v>
      </c>
      <c r="H609" s="14">
        <f t="shared" ref="H609:H617" si="291">SUM(F609:G609)</f>
        <v>491124.02</v>
      </c>
      <c r="I609" s="14">
        <v>13474</v>
      </c>
      <c r="J609" s="14">
        <f t="shared" si="290"/>
        <v>504598.02</v>
      </c>
    </row>
    <row r="610" spans="1:10" ht="10.5" customHeight="1" x14ac:dyDescent="0.2">
      <c r="A610" s="5">
        <f t="shared" si="277"/>
        <v>610</v>
      </c>
      <c r="B610" s="62" t="s">
        <v>451</v>
      </c>
      <c r="C610" s="30"/>
      <c r="D610" s="17">
        <v>4556586.7300000004</v>
      </c>
      <c r="E610" s="14">
        <v>1228229</v>
      </c>
      <c r="F610" s="14">
        <f t="shared" si="289"/>
        <v>5784815.7300000004</v>
      </c>
      <c r="G610" s="14">
        <f>1585989.9+2589</f>
        <v>1588578.9</v>
      </c>
      <c r="H610" s="14">
        <f t="shared" si="291"/>
        <v>7373394.6300000008</v>
      </c>
      <c r="I610" s="14">
        <f>99135+20204</f>
        <v>119339</v>
      </c>
      <c r="J610" s="14">
        <f t="shared" si="290"/>
        <v>7492733.6300000008</v>
      </c>
    </row>
    <row r="611" spans="1:10" ht="10.5" customHeight="1" x14ac:dyDescent="0.2">
      <c r="A611" s="5">
        <f t="shared" si="277"/>
        <v>611</v>
      </c>
      <c r="B611" s="30" t="s">
        <v>66</v>
      </c>
      <c r="C611" s="62" t="s">
        <v>452</v>
      </c>
      <c r="D611" s="70">
        <f>SUM(D609:D610)</f>
        <v>5047710.75</v>
      </c>
      <c r="E611" s="14">
        <f>SUM(E609:E610)</f>
        <v>1228229</v>
      </c>
      <c r="F611" s="14">
        <f>D611+E611</f>
        <v>6275939.75</v>
      </c>
      <c r="G611" s="14">
        <f>SUM(G609:G610)</f>
        <v>1588578.9</v>
      </c>
      <c r="H611" s="14">
        <f>SUM(F611:G611)</f>
        <v>7864518.6500000004</v>
      </c>
      <c r="I611" s="14">
        <f>SUM(I609:I610)</f>
        <v>132813</v>
      </c>
      <c r="J611" s="14">
        <f t="shared" si="290"/>
        <v>7997331.6500000004</v>
      </c>
    </row>
    <row r="612" spans="1:10" ht="10.5" customHeight="1" x14ac:dyDescent="0.2">
      <c r="A612" s="5">
        <f t="shared" si="277"/>
        <v>612</v>
      </c>
      <c r="B612" s="66" t="s">
        <v>453</v>
      </c>
      <c r="C612" s="30"/>
      <c r="D612" s="17">
        <v>10612689.5</v>
      </c>
      <c r="E612" s="14">
        <v>4198655</v>
      </c>
      <c r="F612" s="14">
        <f t="shared" si="289"/>
        <v>14811344.5</v>
      </c>
      <c r="G612" s="14">
        <v>4012722</v>
      </c>
      <c r="H612" s="14">
        <f t="shared" si="291"/>
        <v>18824066.5</v>
      </c>
      <c r="I612" s="14">
        <v>10998</v>
      </c>
      <c r="J612" s="14">
        <f t="shared" si="290"/>
        <v>18835064.5</v>
      </c>
    </row>
    <row r="613" spans="1:10" ht="10.5" customHeight="1" x14ac:dyDescent="0.2">
      <c r="A613" s="5">
        <f t="shared" si="277"/>
        <v>613</v>
      </c>
      <c r="B613" s="66" t="s">
        <v>454</v>
      </c>
      <c r="C613" s="30"/>
      <c r="D613" s="17">
        <v>48372013.030000001</v>
      </c>
      <c r="E613" s="14">
        <v>-321</v>
      </c>
      <c r="F613" s="14">
        <f t="shared" si="289"/>
        <v>48371692.030000001</v>
      </c>
      <c r="G613" s="14">
        <v>237835</v>
      </c>
      <c r="H613" s="14">
        <f t="shared" si="291"/>
        <v>48609527.030000001</v>
      </c>
      <c r="I613" s="14">
        <v>1855892</v>
      </c>
      <c r="J613" s="14">
        <f t="shared" si="290"/>
        <v>50465419.030000001</v>
      </c>
    </row>
    <row r="614" spans="1:10" ht="10.5" customHeight="1" x14ac:dyDescent="0.2">
      <c r="A614" s="5">
        <f t="shared" si="277"/>
        <v>614</v>
      </c>
      <c r="B614" s="66" t="s">
        <v>455</v>
      </c>
      <c r="C614" s="30"/>
      <c r="D614" s="17">
        <v>542860.68000000005</v>
      </c>
      <c r="E614" s="14">
        <v>0</v>
      </c>
      <c r="F614" s="14">
        <f t="shared" ref="F614:F616" si="292">D614+E614</f>
        <v>542860.68000000005</v>
      </c>
      <c r="G614" s="14">
        <v>0</v>
      </c>
      <c r="H614" s="14">
        <f t="shared" si="291"/>
        <v>542860.68000000005</v>
      </c>
      <c r="I614" s="14">
        <v>0</v>
      </c>
      <c r="J614" s="14">
        <f t="shared" si="290"/>
        <v>542860.68000000005</v>
      </c>
    </row>
    <row r="615" spans="1:10" ht="10.5" customHeight="1" x14ac:dyDescent="0.2">
      <c r="A615" s="5">
        <f t="shared" si="277"/>
        <v>615</v>
      </c>
      <c r="B615" s="66" t="s">
        <v>456</v>
      </c>
      <c r="C615" s="30"/>
      <c r="D615" s="17">
        <v>35182378</v>
      </c>
      <c r="E615" s="14">
        <v>0</v>
      </c>
      <c r="F615" s="14">
        <f t="shared" si="292"/>
        <v>35182378</v>
      </c>
      <c r="G615" s="14">
        <v>0</v>
      </c>
      <c r="H615" s="14">
        <f t="shared" si="291"/>
        <v>35182378</v>
      </c>
      <c r="I615" s="14">
        <v>0</v>
      </c>
      <c r="J615" s="14">
        <f t="shared" si="290"/>
        <v>35182378</v>
      </c>
    </row>
    <row r="616" spans="1:10" ht="10.5" customHeight="1" x14ac:dyDescent="0.2">
      <c r="A616" s="5">
        <f t="shared" si="277"/>
        <v>616</v>
      </c>
      <c r="B616" s="66" t="s">
        <v>457</v>
      </c>
      <c r="C616" s="30"/>
      <c r="D616" s="17">
        <v>0</v>
      </c>
      <c r="E616" s="14">
        <v>0</v>
      </c>
      <c r="F616" s="14">
        <f t="shared" si="292"/>
        <v>0</v>
      </c>
      <c r="G616" s="14">
        <v>0</v>
      </c>
      <c r="H616" s="14">
        <f t="shared" si="291"/>
        <v>0</v>
      </c>
      <c r="I616" s="14">
        <v>0</v>
      </c>
      <c r="J616" s="14">
        <f t="shared" si="290"/>
        <v>0</v>
      </c>
    </row>
    <row r="617" spans="1:10" ht="10.5" customHeight="1" x14ac:dyDescent="0.2">
      <c r="A617" s="5">
        <f t="shared" si="277"/>
        <v>617</v>
      </c>
      <c r="B617" s="66" t="s">
        <v>458</v>
      </c>
      <c r="C617" s="30"/>
      <c r="D617" s="17">
        <v>0</v>
      </c>
      <c r="E617" s="14">
        <v>0</v>
      </c>
      <c r="F617" s="14">
        <f t="shared" si="289"/>
        <v>0</v>
      </c>
      <c r="G617" s="14">
        <v>0</v>
      </c>
      <c r="H617" s="14">
        <f t="shared" si="291"/>
        <v>0</v>
      </c>
      <c r="I617" s="14">
        <v>0</v>
      </c>
      <c r="J617" s="14">
        <f t="shared" si="290"/>
        <v>0</v>
      </c>
    </row>
    <row r="618" spans="1:10" ht="10.5" customHeight="1" x14ac:dyDescent="0.2">
      <c r="A618" s="5">
        <f t="shared" si="277"/>
        <v>618</v>
      </c>
      <c r="B618" s="66" t="s">
        <v>459</v>
      </c>
      <c r="C618" s="30"/>
      <c r="E618" s="14"/>
      <c r="J618" s="14"/>
    </row>
    <row r="619" spans="1:10" ht="10.5" customHeight="1" x14ac:dyDescent="0.2">
      <c r="A619" s="5">
        <f t="shared" si="277"/>
        <v>619</v>
      </c>
      <c r="B619" s="30" t="s">
        <v>66</v>
      </c>
      <c r="C619" s="62" t="s">
        <v>460</v>
      </c>
      <c r="E619" s="14"/>
      <c r="J619" s="14"/>
    </row>
    <row r="620" spans="1:10" ht="10.5" customHeight="1" x14ac:dyDescent="0.2">
      <c r="A620" s="5">
        <f t="shared" si="277"/>
        <v>620</v>
      </c>
      <c r="B620" s="30" t="s">
        <v>66</v>
      </c>
      <c r="C620" s="17" t="s">
        <v>461</v>
      </c>
      <c r="D620" s="17">
        <v>3191111</v>
      </c>
      <c r="E620" s="14">
        <v>0</v>
      </c>
      <c r="F620" s="14">
        <f t="shared" ref="F620:F648" si="293">D620+E620</f>
        <v>3191111</v>
      </c>
      <c r="G620" s="14">
        <v>0</v>
      </c>
      <c r="H620" s="14">
        <f t="shared" ref="H620:H640" si="294">SUM(F620:G620)</f>
        <v>3191111</v>
      </c>
      <c r="I620" s="14">
        <v>0</v>
      </c>
      <c r="J620" s="14">
        <f t="shared" si="290"/>
        <v>3191111</v>
      </c>
    </row>
    <row r="621" spans="1:10" ht="10.5" customHeight="1" x14ac:dyDescent="0.2">
      <c r="A621" s="5">
        <f t="shared" si="277"/>
        <v>621</v>
      </c>
      <c r="B621" s="30" t="s">
        <v>66</v>
      </c>
      <c r="C621" s="17" t="s">
        <v>462</v>
      </c>
      <c r="D621" s="17">
        <v>1299039</v>
      </c>
      <c r="E621" s="14">
        <v>0</v>
      </c>
      <c r="F621" s="14">
        <f t="shared" si="293"/>
        <v>1299039</v>
      </c>
      <c r="G621" s="14">
        <v>0</v>
      </c>
      <c r="H621" s="14">
        <f t="shared" si="294"/>
        <v>1299039</v>
      </c>
      <c r="I621" s="14">
        <v>0</v>
      </c>
      <c r="J621" s="14">
        <f t="shared" si="290"/>
        <v>1299039</v>
      </c>
    </row>
    <row r="622" spans="1:10" ht="10.5" customHeight="1" x14ac:dyDescent="0.2">
      <c r="A622" s="5">
        <f t="shared" si="277"/>
        <v>622</v>
      </c>
      <c r="B622" s="30" t="s">
        <v>66</v>
      </c>
      <c r="C622" s="17" t="s">
        <v>463</v>
      </c>
      <c r="D622" s="17">
        <v>0</v>
      </c>
      <c r="E622" s="14">
        <v>0</v>
      </c>
      <c r="F622" s="14">
        <f t="shared" si="293"/>
        <v>0</v>
      </c>
      <c r="G622" s="14">
        <v>0</v>
      </c>
      <c r="H622" s="14">
        <f t="shared" si="294"/>
        <v>0</v>
      </c>
      <c r="I622" s="14">
        <v>0</v>
      </c>
      <c r="J622" s="14">
        <f t="shared" si="290"/>
        <v>0</v>
      </c>
    </row>
    <row r="623" spans="1:10" ht="10.5" customHeight="1" x14ac:dyDescent="0.2">
      <c r="A623" s="5">
        <f t="shared" si="277"/>
        <v>623</v>
      </c>
      <c r="B623" s="30"/>
      <c r="C623" s="17" t="s">
        <v>464</v>
      </c>
      <c r="D623" s="17">
        <v>1078140</v>
      </c>
      <c r="E623" s="14">
        <v>0</v>
      </c>
      <c r="F623" s="14">
        <f t="shared" si="293"/>
        <v>1078140</v>
      </c>
      <c r="G623" s="14">
        <v>0</v>
      </c>
      <c r="H623" s="14">
        <f t="shared" si="294"/>
        <v>1078140</v>
      </c>
      <c r="I623" s="14">
        <v>0</v>
      </c>
      <c r="J623" s="14">
        <f t="shared" si="290"/>
        <v>1078140</v>
      </c>
    </row>
    <row r="624" spans="1:10" ht="10.5" customHeight="1" x14ac:dyDescent="0.2">
      <c r="A624" s="5">
        <f t="shared" si="277"/>
        <v>624</v>
      </c>
      <c r="B624" s="30"/>
      <c r="C624" s="17" t="s">
        <v>465</v>
      </c>
      <c r="D624" s="17">
        <v>256195.87999999995</v>
      </c>
      <c r="E624" s="14">
        <v>0</v>
      </c>
      <c r="F624" s="14">
        <f t="shared" si="293"/>
        <v>256195.87999999995</v>
      </c>
      <c r="G624" s="14">
        <v>0</v>
      </c>
      <c r="H624" s="14">
        <f t="shared" si="294"/>
        <v>256195.87999999995</v>
      </c>
      <c r="I624" s="14">
        <v>0</v>
      </c>
      <c r="J624" s="14">
        <f t="shared" si="290"/>
        <v>256195.87999999995</v>
      </c>
    </row>
    <row r="625" spans="1:10" ht="10.5" customHeight="1" x14ac:dyDescent="0.2">
      <c r="A625" s="5">
        <f t="shared" si="277"/>
        <v>625</v>
      </c>
      <c r="B625" s="30"/>
      <c r="C625" s="17" t="s">
        <v>466</v>
      </c>
      <c r="D625" s="17">
        <v>445502.06</v>
      </c>
      <c r="E625" s="14">
        <v>0</v>
      </c>
      <c r="F625" s="14">
        <f t="shared" si="293"/>
        <v>445502.06</v>
      </c>
      <c r="G625" s="14">
        <v>0</v>
      </c>
      <c r="H625" s="14">
        <f t="shared" si="294"/>
        <v>445502.06</v>
      </c>
      <c r="I625" s="14">
        <v>0</v>
      </c>
      <c r="J625" s="14">
        <f t="shared" si="290"/>
        <v>445502.06</v>
      </c>
    </row>
    <row r="626" spans="1:10" ht="10.5" customHeight="1" x14ac:dyDescent="0.2">
      <c r="A626" s="5">
        <f t="shared" si="277"/>
        <v>626</v>
      </c>
      <c r="B626" s="30" t="s">
        <v>66</v>
      </c>
      <c r="C626" s="17" t="s">
        <v>467</v>
      </c>
      <c r="D626" s="17">
        <v>47124.57</v>
      </c>
      <c r="E626" s="14">
        <v>-7520</v>
      </c>
      <c r="F626" s="14">
        <f t="shared" si="293"/>
        <v>39604.57</v>
      </c>
      <c r="G626" s="14">
        <v>0</v>
      </c>
      <c r="H626" s="14">
        <f t="shared" si="294"/>
        <v>39604.57</v>
      </c>
      <c r="I626" s="14">
        <v>0</v>
      </c>
      <c r="J626" s="14">
        <f t="shared" si="290"/>
        <v>39604.57</v>
      </c>
    </row>
    <row r="627" spans="1:10" ht="10.5" customHeight="1" x14ac:dyDescent="0.2">
      <c r="A627" s="5">
        <f t="shared" si="277"/>
        <v>627</v>
      </c>
      <c r="B627" s="30" t="s">
        <v>66</v>
      </c>
      <c r="C627" s="17" t="s">
        <v>468</v>
      </c>
      <c r="D627" s="17">
        <v>0</v>
      </c>
      <c r="E627" s="14">
        <v>0</v>
      </c>
      <c r="F627" s="14">
        <f t="shared" si="293"/>
        <v>0</v>
      </c>
      <c r="G627" s="14">
        <v>0</v>
      </c>
      <c r="H627" s="14">
        <f t="shared" si="294"/>
        <v>0</v>
      </c>
      <c r="I627" s="14">
        <v>0</v>
      </c>
      <c r="J627" s="14">
        <f t="shared" si="290"/>
        <v>0</v>
      </c>
    </row>
    <row r="628" spans="1:10" ht="10.5" customHeight="1" x14ac:dyDescent="0.2">
      <c r="A628" s="5">
        <f t="shared" si="277"/>
        <v>628</v>
      </c>
      <c r="B628" s="30" t="s">
        <v>66</v>
      </c>
      <c r="C628" s="17" t="s">
        <v>469</v>
      </c>
      <c r="D628" s="17">
        <v>89772.23</v>
      </c>
      <c r="E628" s="14">
        <v>3899.55</v>
      </c>
      <c r="F628" s="14">
        <f t="shared" si="293"/>
        <v>93671.78</v>
      </c>
      <c r="G628" s="14">
        <v>53887.07</v>
      </c>
      <c r="H628" s="14">
        <f t="shared" si="294"/>
        <v>147558.85</v>
      </c>
      <c r="I628" s="14">
        <v>0</v>
      </c>
      <c r="J628" s="14">
        <f t="shared" si="290"/>
        <v>147558.85</v>
      </c>
    </row>
    <row r="629" spans="1:10" ht="10.5" customHeight="1" x14ac:dyDescent="0.2">
      <c r="A629" s="5">
        <f t="shared" si="277"/>
        <v>629</v>
      </c>
      <c r="B629" s="30" t="s">
        <v>66</v>
      </c>
      <c r="C629" s="17" t="s">
        <v>470</v>
      </c>
      <c r="D629" s="17">
        <v>0</v>
      </c>
      <c r="E629" s="14">
        <v>0</v>
      </c>
      <c r="F629" s="14">
        <f t="shared" si="293"/>
        <v>0</v>
      </c>
      <c r="G629" s="14">
        <v>0</v>
      </c>
      <c r="H629" s="14">
        <f t="shared" si="294"/>
        <v>0</v>
      </c>
      <c r="I629" s="14">
        <v>0</v>
      </c>
      <c r="J629" s="14">
        <f t="shared" si="290"/>
        <v>0</v>
      </c>
    </row>
    <row r="630" spans="1:10" ht="10.5" customHeight="1" x14ac:dyDescent="0.2">
      <c r="A630" s="5">
        <f t="shared" si="277"/>
        <v>630</v>
      </c>
      <c r="B630" s="30" t="s">
        <v>66</v>
      </c>
      <c r="C630" s="17" t="s">
        <v>469</v>
      </c>
      <c r="D630" s="17">
        <v>546674.97</v>
      </c>
      <c r="E630" s="14">
        <v>-320044.58</v>
      </c>
      <c r="F630" s="14">
        <f t="shared" si="293"/>
        <v>226630.38999999996</v>
      </c>
      <c r="G630" s="14">
        <v>0</v>
      </c>
      <c r="H630" s="14">
        <f t="shared" si="294"/>
        <v>226630.38999999996</v>
      </c>
      <c r="I630" s="14">
        <v>0</v>
      </c>
      <c r="J630" s="14">
        <f t="shared" si="290"/>
        <v>226630.38999999996</v>
      </c>
    </row>
    <row r="631" spans="1:10" ht="10.5" customHeight="1" x14ac:dyDescent="0.2">
      <c r="A631" s="5">
        <f t="shared" si="277"/>
        <v>631</v>
      </c>
      <c r="B631" s="30" t="s">
        <v>66</v>
      </c>
      <c r="C631" s="66" t="s">
        <v>471</v>
      </c>
      <c r="D631" s="14">
        <f>SUM(D620:D630)</f>
        <v>6953559.71</v>
      </c>
      <c r="E631" s="14">
        <f>SUM(E620:E630)</f>
        <v>-323665.03000000003</v>
      </c>
      <c r="F631" s="14">
        <f t="shared" si="293"/>
        <v>6629894.6799999997</v>
      </c>
      <c r="G631" s="14">
        <f>SUM(G620:G630)</f>
        <v>53887.07</v>
      </c>
      <c r="H631" s="14">
        <f t="shared" si="294"/>
        <v>6683781.75</v>
      </c>
      <c r="I631" s="14">
        <f>SUM(I620:I630)</f>
        <v>0</v>
      </c>
      <c r="J631" s="14">
        <f t="shared" si="290"/>
        <v>6683781.75</v>
      </c>
    </row>
    <row r="632" spans="1:10" ht="10.5" customHeight="1" x14ac:dyDescent="0.2">
      <c r="A632" s="5">
        <f t="shared" si="277"/>
        <v>632</v>
      </c>
      <c r="B632" s="66" t="s">
        <v>472</v>
      </c>
      <c r="C632" s="30"/>
      <c r="D632" s="17">
        <v>0</v>
      </c>
      <c r="E632" s="14">
        <v>0</v>
      </c>
      <c r="F632" s="14">
        <f>D632+E632</f>
        <v>0</v>
      </c>
      <c r="G632" s="14">
        <v>0</v>
      </c>
      <c r="H632" s="14">
        <f>SUM(F632:G632)</f>
        <v>0</v>
      </c>
      <c r="I632" s="14">
        <v>0</v>
      </c>
      <c r="J632" s="14">
        <f t="shared" si="290"/>
        <v>0</v>
      </c>
    </row>
    <row r="633" spans="1:10" ht="10.5" customHeight="1" x14ac:dyDescent="0.2">
      <c r="A633" s="5">
        <f t="shared" si="277"/>
        <v>633</v>
      </c>
      <c r="B633" s="66" t="s">
        <v>473</v>
      </c>
      <c r="C633" s="30"/>
      <c r="D633" s="17">
        <v>133441.69</v>
      </c>
      <c r="E633" s="14">
        <v>-133441.69</v>
      </c>
      <c r="F633" s="14">
        <f t="shared" si="293"/>
        <v>0</v>
      </c>
      <c r="G633" s="14">
        <v>0</v>
      </c>
      <c r="H633" s="14">
        <f t="shared" si="294"/>
        <v>0</v>
      </c>
      <c r="I633" s="14">
        <v>0</v>
      </c>
      <c r="J633" s="14">
        <f t="shared" si="290"/>
        <v>0</v>
      </c>
    </row>
    <row r="634" spans="1:10" ht="10.5" customHeight="1" x14ac:dyDescent="0.2">
      <c r="A634" s="5">
        <f t="shared" si="277"/>
        <v>634</v>
      </c>
      <c r="B634" s="66" t="s">
        <v>474</v>
      </c>
      <c r="C634" s="30"/>
      <c r="D634" s="17">
        <v>4681624.96</v>
      </c>
      <c r="E634" s="14">
        <v>-460172</v>
      </c>
      <c r="F634" s="14">
        <f>D634+E634</f>
        <v>4221452.96</v>
      </c>
      <c r="G634" s="14">
        <v>798</v>
      </c>
      <c r="H634" s="14">
        <f t="shared" si="294"/>
        <v>4222250.96</v>
      </c>
      <c r="I634" s="14">
        <v>6231</v>
      </c>
      <c r="J634" s="14">
        <f t="shared" si="290"/>
        <v>4228481.96</v>
      </c>
    </row>
    <row r="635" spans="1:10" ht="10.5" customHeight="1" x14ac:dyDescent="0.2">
      <c r="A635" s="5">
        <f t="shared" si="277"/>
        <v>635</v>
      </c>
      <c r="B635" s="66" t="s">
        <v>475</v>
      </c>
      <c r="C635" s="30"/>
      <c r="D635" s="17">
        <v>0</v>
      </c>
      <c r="E635" s="14">
        <v>0</v>
      </c>
      <c r="F635" s="14">
        <f t="shared" si="293"/>
        <v>0</v>
      </c>
      <c r="G635" s="14">
        <v>0</v>
      </c>
      <c r="H635" s="14">
        <f t="shared" si="294"/>
        <v>0</v>
      </c>
      <c r="I635" s="14">
        <v>0</v>
      </c>
      <c r="J635" s="14">
        <f t="shared" si="290"/>
        <v>0</v>
      </c>
    </row>
    <row r="636" spans="1:10" ht="10.5" customHeight="1" x14ac:dyDescent="0.2">
      <c r="A636" s="5">
        <f t="shared" si="277"/>
        <v>636</v>
      </c>
      <c r="B636" s="30" t="str">
        <f>" "</f>
        <v xml:space="preserve"> </v>
      </c>
      <c r="C636" s="66" t="s">
        <v>476</v>
      </c>
      <c r="D636" s="14">
        <f>SUM(D604:D607,D611:D617,D631:D635)</f>
        <v>204249895.05000004</v>
      </c>
      <c r="E636" s="14">
        <f>SUM(E604:E607,E611:E617,E631:E635)</f>
        <v>-25682955.220000003</v>
      </c>
      <c r="F636" s="14">
        <f t="shared" si="293"/>
        <v>178566939.83000004</v>
      </c>
      <c r="G636" s="14">
        <f>SUM(G604:G607,G611:G617,G631:G635)</f>
        <v>17318935.450000003</v>
      </c>
      <c r="H636" s="14">
        <f t="shared" si="294"/>
        <v>195885875.28000003</v>
      </c>
      <c r="I636" s="14">
        <f>SUM(I604:I607,I611:I617,I631:I635)</f>
        <v>3290653</v>
      </c>
      <c r="J636" s="14">
        <f t="shared" si="290"/>
        <v>199176528.28000003</v>
      </c>
    </row>
    <row r="637" spans="1:10" ht="10.5" customHeight="1" x14ac:dyDescent="0.2">
      <c r="A637" s="5">
        <f t="shared" si="277"/>
        <v>637</v>
      </c>
      <c r="B637" s="30" t="s">
        <v>477</v>
      </c>
      <c r="C637" s="30"/>
      <c r="E637" s="14"/>
      <c r="F637" s="14">
        <f t="shared" si="293"/>
        <v>0</v>
      </c>
      <c r="H637" s="14">
        <f>SUM(F637:G637)</f>
        <v>0</v>
      </c>
      <c r="J637" s="14">
        <f t="shared" si="290"/>
        <v>0</v>
      </c>
    </row>
    <row r="638" spans="1:10" ht="10.5" customHeight="1" x14ac:dyDescent="0.2">
      <c r="A638" s="5">
        <f t="shared" si="277"/>
        <v>638</v>
      </c>
      <c r="B638" s="66" t="s">
        <v>478</v>
      </c>
      <c r="C638" s="30"/>
      <c r="D638" s="17">
        <v>7588454</v>
      </c>
      <c r="E638" s="14">
        <v>-7342</v>
      </c>
      <c r="F638" s="14">
        <f t="shared" si="293"/>
        <v>7581112</v>
      </c>
      <c r="G638" s="14">
        <v>7645</v>
      </c>
      <c r="H638" s="14">
        <f t="shared" si="294"/>
        <v>7588757</v>
      </c>
      <c r="I638" s="14">
        <v>59658</v>
      </c>
      <c r="J638" s="14">
        <f t="shared" si="290"/>
        <v>7648415</v>
      </c>
    </row>
    <row r="639" spans="1:10" ht="10.5" customHeight="1" x14ac:dyDescent="0.2">
      <c r="A639" s="5">
        <f t="shared" si="277"/>
        <v>639</v>
      </c>
      <c r="B639" s="66" t="s">
        <v>479</v>
      </c>
      <c r="C639" s="30"/>
      <c r="D639" s="14">
        <v>5418390</v>
      </c>
      <c r="E639" s="14">
        <v>0</v>
      </c>
      <c r="F639" s="14">
        <f t="shared" si="293"/>
        <v>5418390</v>
      </c>
      <c r="G639" s="14">
        <v>128655</v>
      </c>
      <c r="H639" s="14">
        <f>SUM(F639:G639)</f>
        <v>5547045</v>
      </c>
      <c r="I639" s="14">
        <v>0</v>
      </c>
      <c r="J639" s="14">
        <f t="shared" si="290"/>
        <v>5547045</v>
      </c>
    </row>
    <row r="640" spans="1:10" ht="10.5" customHeight="1" x14ac:dyDescent="0.2">
      <c r="A640" s="5">
        <f t="shared" si="277"/>
        <v>640</v>
      </c>
      <c r="B640" s="30" t="s">
        <v>66</v>
      </c>
      <c r="C640" s="62" t="s">
        <v>480</v>
      </c>
      <c r="D640" s="14">
        <f>SUM(D517,D538,D542,D554,D582,D590,D601,D636,D638,D639)</f>
        <v>1259284350.1099999</v>
      </c>
      <c r="E640" s="14">
        <f>SUM(E517,E538,E542,E554,E582,E590,E601,E636,E638,E639)</f>
        <v>-311709045.31</v>
      </c>
      <c r="F640" s="14">
        <f t="shared" si="293"/>
        <v>947575304.79999995</v>
      </c>
      <c r="G640" s="14">
        <f>SUM(G517,G538,G542,G554,G582,G590,G601,G636,G638,G639)</f>
        <v>148727175.13481915</v>
      </c>
      <c r="H640" s="14">
        <f t="shared" si="294"/>
        <v>1096302479.9348192</v>
      </c>
      <c r="I640" s="14">
        <f>SUM(I517,I538,I542,I554,I582,I590,I601,I636,I638,I639)</f>
        <v>8123919</v>
      </c>
      <c r="J640" s="14">
        <f t="shared" si="290"/>
        <v>1104426398.9348192</v>
      </c>
    </row>
    <row r="641" spans="1:10" ht="10.5" customHeight="1" x14ac:dyDescent="0.2">
      <c r="A641" s="5">
        <f t="shared" si="277"/>
        <v>641</v>
      </c>
      <c r="B641" s="13" t="s">
        <v>481</v>
      </c>
      <c r="E641" s="14"/>
      <c r="H641" s="15"/>
      <c r="J641" s="14"/>
    </row>
    <row r="642" spans="1:10" ht="10.5" customHeight="1" x14ac:dyDescent="0.2">
      <c r="A642" s="5">
        <f t="shared" si="277"/>
        <v>642</v>
      </c>
      <c r="B642" s="14" t="str">
        <f>" "</f>
        <v xml:space="preserve"> </v>
      </c>
      <c r="E642" s="14"/>
      <c r="G642" s="16"/>
      <c r="J642" s="14"/>
    </row>
    <row r="643" spans="1:10" ht="10.5" customHeight="1" x14ac:dyDescent="0.2">
      <c r="A643" s="5">
        <f t="shared" si="277"/>
        <v>643</v>
      </c>
      <c r="B643" s="14" t="s">
        <v>29</v>
      </c>
      <c r="E643" s="14"/>
      <c r="J643" s="14"/>
    </row>
    <row r="644" spans="1:10" ht="10.5" customHeight="1" x14ac:dyDescent="0.2">
      <c r="A644" s="5">
        <f t="shared" si="277"/>
        <v>644</v>
      </c>
      <c r="B644" s="14" t="s">
        <v>117</v>
      </c>
      <c r="D644" s="17">
        <v>59841521.240000002</v>
      </c>
      <c r="E644" s="14">
        <f>-26216044.82+-22805903.65</f>
        <v>-49021948.469999999</v>
      </c>
      <c r="F644" s="14">
        <f t="shared" si="293"/>
        <v>10819572.770000003</v>
      </c>
      <c r="G644" s="14">
        <f>$H644-$F644</f>
        <v>685671.32688584179</v>
      </c>
      <c r="H644" s="14">
        <v>11505244.096885845</v>
      </c>
      <c r="I644" s="14">
        <v>166072.0631141545</v>
      </c>
      <c r="J644" s="14">
        <f>SUM(H644:I644)</f>
        <v>11671316.16</v>
      </c>
    </row>
    <row r="645" spans="1:10" ht="10.5" customHeight="1" x14ac:dyDescent="0.2">
      <c r="A645" s="5">
        <f t="shared" si="277"/>
        <v>645</v>
      </c>
      <c r="B645" s="14" t="s">
        <v>118</v>
      </c>
      <c r="D645" s="17">
        <v>27052570.800000004</v>
      </c>
      <c r="E645" s="14">
        <v>0</v>
      </c>
      <c r="F645" s="14">
        <f t="shared" si="293"/>
        <v>27052570.800000004</v>
      </c>
      <c r="G645" s="14">
        <f>$H645-$F645</f>
        <v>978123.19999999553</v>
      </c>
      <c r="H645" s="14">
        <v>28030694</v>
      </c>
      <c r="I645" s="14">
        <v>604729.24000000139</v>
      </c>
      <c r="J645" s="14">
        <f>SUM(H645:I645)</f>
        <v>28635423.240000002</v>
      </c>
    </row>
    <row r="646" spans="1:10" ht="10.5" customHeight="1" x14ac:dyDescent="0.2">
      <c r="A646" s="5">
        <f t="shared" si="277"/>
        <v>646</v>
      </c>
      <c r="B646" s="14" t="s">
        <v>119</v>
      </c>
      <c r="D646" s="17">
        <v>12364565.949999999</v>
      </c>
      <c r="E646" s="14">
        <v>0</v>
      </c>
      <c r="F646" s="14">
        <f t="shared" ref="F646" si="295">D646+E646</f>
        <v>12364565.949999999</v>
      </c>
      <c r="G646" s="14">
        <f>$H646-$F646</f>
        <v>-147239.12311016396</v>
      </c>
      <c r="H646" s="14">
        <f>20177969.73*(D646/($D$646+$D$647))</f>
        <v>12217326.826889835</v>
      </c>
      <c r="I646" s="14">
        <f>90772.11*(D646/($D$646+$D$647))</f>
        <v>54960.560922419179</v>
      </c>
      <c r="J646" s="14">
        <f>SUM(H646:I646)</f>
        <v>12272287.387812255</v>
      </c>
    </row>
    <row r="647" spans="1:10" ht="10.5" customHeight="1" x14ac:dyDescent="0.2">
      <c r="A647" s="5">
        <f t="shared" si="277"/>
        <v>647</v>
      </c>
      <c r="B647" s="14" t="s">
        <v>120</v>
      </c>
      <c r="D647" s="17">
        <f>20421147.85-D646</f>
        <v>8056581.9000000022</v>
      </c>
      <c r="E647" s="14">
        <v>0</v>
      </c>
      <c r="F647" s="14">
        <f t="shared" si="293"/>
        <v>8056581.9000000022</v>
      </c>
      <c r="G647" s="14">
        <f>$H647-$F647</f>
        <v>-95938.996889836155</v>
      </c>
      <c r="H647" s="14">
        <f>20177969.73*(D647/($D$646+$D$647))</f>
        <v>7960642.9031101661</v>
      </c>
      <c r="I647" s="14">
        <f>90772.11*(D647/($D$646+$D$647))</f>
        <v>35811.549077580828</v>
      </c>
      <c r="J647" s="14">
        <f>SUM(H647:I647)</f>
        <v>7996454.4521877468</v>
      </c>
    </row>
    <row r="648" spans="1:10" ht="10.5" customHeight="1" x14ac:dyDescent="0.2">
      <c r="A648" s="5">
        <f t="shared" ref="A648:A715" si="296">A647+1</f>
        <v>648</v>
      </c>
      <c r="B648" s="14" t="s">
        <v>66</v>
      </c>
      <c r="C648" s="14" t="s">
        <v>121</v>
      </c>
      <c r="D648" s="17">
        <f>SUM(D644:D647)</f>
        <v>107315239.89000002</v>
      </c>
      <c r="E648" s="17">
        <f>SUM(E644:E647)</f>
        <v>-49021948.469999999</v>
      </c>
      <c r="F648" s="14">
        <f t="shared" si="293"/>
        <v>58293291.420000017</v>
      </c>
      <c r="G648" s="14">
        <f>$H648-$F648</f>
        <v>1420616.4068858325</v>
      </c>
      <c r="H648" s="17">
        <f>SUM(H644:H647)</f>
        <v>59713907.826885849</v>
      </c>
      <c r="I648" s="17">
        <f>SUM(I644:I647)</f>
        <v>861573.41311415588</v>
      </c>
      <c r="J648" s="14">
        <f>SUM(H648:I648)</f>
        <v>60575481.240000002</v>
      </c>
    </row>
    <row r="649" spans="1:10" ht="10.5" customHeight="1" x14ac:dyDescent="0.2">
      <c r="A649" s="5">
        <f t="shared" si="296"/>
        <v>649</v>
      </c>
      <c r="B649" s="14" t="s">
        <v>66</v>
      </c>
      <c r="C649" s="14" t="s">
        <v>66</v>
      </c>
      <c r="D649" s="17"/>
      <c r="E649" s="14"/>
      <c r="J649" s="14"/>
    </row>
    <row r="650" spans="1:10" ht="10.5" customHeight="1" x14ac:dyDescent="0.2">
      <c r="A650" s="5">
        <f t="shared" si="296"/>
        <v>650</v>
      </c>
      <c r="B650" s="14" t="s">
        <v>63</v>
      </c>
      <c r="D650" s="17"/>
      <c r="E650" s="14"/>
      <c r="J650" s="14"/>
    </row>
    <row r="651" spans="1:10" ht="10.5" customHeight="1" x14ac:dyDescent="0.2">
      <c r="A651" s="5">
        <f t="shared" si="296"/>
        <v>651</v>
      </c>
      <c r="B651" s="14" t="s">
        <v>169</v>
      </c>
      <c r="D651" s="17">
        <v>460910.59</v>
      </c>
      <c r="E651" s="14">
        <v>0</v>
      </c>
      <c r="F651" s="14">
        <f t="shared" ref="F651:F658" si="297">D651+E651</f>
        <v>460910.59</v>
      </c>
      <c r="G651" s="14">
        <f t="shared" ref="G651:G658" si="298">$H651-$F651</f>
        <v>21867.910000000033</v>
      </c>
      <c r="H651" s="14">
        <v>482778.50000000006</v>
      </c>
      <c r="I651" s="14">
        <v>20826.940000000002</v>
      </c>
      <c r="J651" s="14">
        <f t="shared" ref="J651:J658" si="299">SUM(H651:I651)</f>
        <v>503605.44000000006</v>
      </c>
    </row>
    <row r="652" spans="1:10" ht="10.5" customHeight="1" x14ac:dyDescent="0.2">
      <c r="A652" s="5">
        <f t="shared" si="296"/>
        <v>652</v>
      </c>
      <c r="B652" s="14" t="s">
        <v>170</v>
      </c>
      <c r="D652" s="17">
        <v>2163086.7800000003</v>
      </c>
      <c r="E652" s="14">
        <f>-3090.69+-14919.06</f>
        <v>-18009.75</v>
      </c>
      <c r="F652" s="14">
        <f t="shared" si="297"/>
        <v>2145077.0300000003</v>
      </c>
      <c r="G652" s="14">
        <f t="shared" si="298"/>
        <v>330116.87736701733</v>
      </c>
      <c r="H652" s="14">
        <v>2475193.9073670176</v>
      </c>
      <c r="I652" s="14">
        <v>17520.492632982787</v>
      </c>
      <c r="J652" s="14">
        <f t="shared" si="299"/>
        <v>2492714.4000000004</v>
      </c>
    </row>
    <row r="653" spans="1:10" ht="10.5" customHeight="1" x14ac:dyDescent="0.2">
      <c r="A653" s="5">
        <f t="shared" si="296"/>
        <v>653</v>
      </c>
      <c r="B653" s="14" t="s">
        <v>171</v>
      </c>
      <c r="D653" s="17">
        <v>11491882.880215999</v>
      </c>
      <c r="E653" s="14">
        <f>-263697.91+-311293.69</f>
        <v>-574991.6</v>
      </c>
      <c r="F653" s="14">
        <f t="shared" si="297"/>
        <v>10916891.280215999</v>
      </c>
      <c r="G653" s="14">
        <f t="shared" si="298"/>
        <v>703907.19893406332</v>
      </c>
      <c r="H653" s="14">
        <v>11620798.479150062</v>
      </c>
      <c r="I653" s="14">
        <v>192754.04084993713</v>
      </c>
      <c r="J653" s="14">
        <f t="shared" si="299"/>
        <v>11813552.52</v>
      </c>
    </row>
    <row r="654" spans="1:10" ht="10.5" customHeight="1" x14ac:dyDescent="0.2">
      <c r="A654" s="5">
        <f t="shared" si="296"/>
        <v>654</v>
      </c>
      <c r="B654" s="14" t="s">
        <v>172</v>
      </c>
      <c r="D654" s="17">
        <v>2843215.65</v>
      </c>
      <c r="E654" s="14">
        <v>0</v>
      </c>
      <c r="F654" s="14">
        <f t="shared" si="297"/>
        <v>2843215.65</v>
      </c>
      <c r="G654" s="14">
        <f t="shared" si="298"/>
        <v>333999.14999999991</v>
      </c>
      <c r="H654" s="14">
        <v>3177214.8</v>
      </c>
      <c r="I654" s="14">
        <v>82065.600000000559</v>
      </c>
      <c r="J654" s="14">
        <f t="shared" si="299"/>
        <v>3259280.4000000004</v>
      </c>
    </row>
    <row r="655" spans="1:10" ht="10.5" customHeight="1" x14ac:dyDescent="0.2">
      <c r="A655" s="5">
        <f t="shared" si="296"/>
        <v>655</v>
      </c>
      <c r="B655" s="14" t="s">
        <v>173</v>
      </c>
      <c r="D655" s="17">
        <v>6482633.3200000012</v>
      </c>
      <c r="E655" s="14">
        <v>0</v>
      </c>
      <c r="F655" s="14">
        <f t="shared" si="297"/>
        <v>6482633.3200000012</v>
      </c>
      <c r="G655" s="14">
        <f t="shared" si="298"/>
        <v>537470.48999999929</v>
      </c>
      <c r="H655" s="14">
        <v>7020103.8100000005</v>
      </c>
      <c r="I655" s="14">
        <v>323366.50999999978</v>
      </c>
      <c r="J655" s="14">
        <f t="shared" si="299"/>
        <v>7343470.3200000003</v>
      </c>
    </row>
    <row r="656" spans="1:10" ht="10.5" customHeight="1" x14ac:dyDescent="0.2">
      <c r="A656" s="5">
        <f t="shared" si="296"/>
        <v>656</v>
      </c>
      <c r="B656" s="14" t="s">
        <v>174</v>
      </c>
      <c r="D656" s="17">
        <v>4088784.62</v>
      </c>
      <c r="E656" s="14">
        <v>0</v>
      </c>
      <c r="F656" s="14">
        <f t="shared" si="297"/>
        <v>4088784.62</v>
      </c>
      <c r="G656" s="14">
        <f t="shared" si="298"/>
        <v>621049.5999999987</v>
      </c>
      <c r="H656" s="14">
        <v>4709834.2199999988</v>
      </c>
      <c r="I656" s="14">
        <v>144513.30000000168</v>
      </c>
      <c r="J656" s="14">
        <f t="shared" si="299"/>
        <v>4854347.5200000005</v>
      </c>
    </row>
    <row r="657" spans="1:10" ht="10.5" customHeight="1" x14ac:dyDescent="0.2">
      <c r="A657" s="5">
        <f t="shared" si="296"/>
        <v>657</v>
      </c>
      <c r="B657" s="14" t="s">
        <v>175</v>
      </c>
      <c r="D657" s="17">
        <v>2795.13</v>
      </c>
      <c r="E657" s="14">
        <v>0</v>
      </c>
      <c r="F657" s="14">
        <f t="shared" si="297"/>
        <v>2795.13</v>
      </c>
      <c r="G657" s="14">
        <f t="shared" si="298"/>
        <v>19.319999999999709</v>
      </c>
      <c r="H657" s="14">
        <v>2814.45</v>
      </c>
      <c r="I657" s="14">
        <v>30.510000000000218</v>
      </c>
      <c r="J657" s="14">
        <f t="shared" si="299"/>
        <v>2844.96</v>
      </c>
    </row>
    <row r="658" spans="1:10" ht="10.5" customHeight="1" x14ac:dyDescent="0.2">
      <c r="A658" s="5">
        <f t="shared" si="296"/>
        <v>658</v>
      </c>
      <c r="B658" s="14" t="s">
        <v>66</v>
      </c>
      <c r="C658" s="14" t="s">
        <v>137</v>
      </c>
      <c r="D658" s="17">
        <f>SUM(D651:D657)</f>
        <v>27533308.970215999</v>
      </c>
      <c r="E658" s="17">
        <f>SUM(E651:E657)</f>
        <v>-593001.35</v>
      </c>
      <c r="F658" s="14">
        <f t="shared" si="297"/>
        <v>26940307.620215997</v>
      </c>
      <c r="G658" s="14">
        <f t="shared" si="298"/>
        <v>2548430.5463010781</v>
      </c>
      <c r="H658" s="14">
        <f>SUM(H651:H657)</f>
        <v>29488738.166517075</v>
      </c>
      <c r="I658" s="14">
        <f>SUM(I651:I657)</f>
        <v>781077.39348292188</v>
      </c>
      <c r="J658" s="14">
        <f t="shared" si="299"/>
        <v>30269815.559999999</v>
      </c>
    </row>
    <row r="659" spans="1:10" ht="10.5" customHeight="1" x14ac:dyDescent="0.2">
      <c r="A659" s="5">
        <f t="shared" si="296"/>
        <v>659</v>
      </c>
      <c r="B659" s="14" t="s">
        <v>66</v>
      </c>
      <c r="C659" s="14" t="s">
        <v>66</v>
      </c>
      <c r="D659" s="17"/>
      <c r="E659" s="14"/>
      <c r="J659" s="14"/>
    </row>
    <row r="660" spans="1:10" ht="10.5" customHeight="1" x14ac:dyDescent="0.2">
      <c r="A660" s="5">
        <f t="shared" si="296"/>
        <v>660</v>
      </c>
      <c r="B660" s="14" t="s">
        <v>64</v>
      </c>
      <c r="D660" s="17"/>
      <c r="E660" s="14"/>
      <c r="J660" s="14"/>
    </row>
    <row r="661" spans="1:10" ht="10.5" customHeight="1" x14ac:dyDescent="0.2">
      <c r="A661" s="5">
        <f t="shared" si="296"/>
        <v>661</v>
      </c>
      <c r="B661" s="14" t="s">
        <v>176</v>
      </c>
      <c r="D661" s="17">
        <v>29090.089999999997</v>
      </c>
      <c r="E661" s="14">
        <v>0</v>
      </c>
      <c r="F661" s="14">
        <f t="shared" ref="F661:F674" si="300">D661+E661</f>
        <v>29090.089999999997</v>
      </c>
      <c r="G661" s="14">
        <f t="shared" ref="G661:G674" si="301">$H661-$F661</f>
        <v>-5.0000000002910383E-2</v>
      </c>
      <c r="H661" s="14">
        <v>29090.039999999994</v>
      </c>
      <c r="I661" s="14">
        <v>0</v>
      </c>
      <c r="J661" s="14">
        <f t="shared" ref="J661:J674" si="302">SUM(H661:I661)</f>
        <v>29090.039999999994</v>
      </c>
    </row>
    <row r="662" spans="1:10" ht="10.5" customHeight="1" x14ac:dyDescent="0.2">
      <c r="A662" s="5">
        <f t="shared" si="296"/>
        <v>662</v>
      </c>
      <c r="B662" s="14" t="s">
        <v>177</v>
      </c>
      <c r="D662" s="17">
        <v>1441756.89</v>
      </c>
      <c r="E662" s="14">
        <v>0</v>
      </c>
      <c r="F662" s="14">
        <f t="shared" si="300"/>
        <v>1441756.89</v>
      </c>
      <c r="G662" s="14">
        <f t="shared" si="301"/>
        <v>103644.46999999997</v>
      </c>
      <c r="H662" s="14">
        <v>1545401.3599999999</v>
      </c>
      <c r="I662" s="14">
        <v>68887.239999999991</v>
      </c>
      <c r="J662" s="14">
        <f t="shared" si="302"/>
        <v>1614288.5999999999</v>
      </c>
    </row>
    <row r="663" spans="1:10" ht="10.5" customHeight="1" x14ac:dyDescent="0.2">
      <c r="A663" s="5">
        <f t="shared" si="296"/>
        <v>663</v>
      </c>
      <c r="B663" s="14" t="s">
        <v>178</v>
      </c>
      <c r="D663" s="17">
        <v>6684586.013115</v>
      </c>
      <c r="E663" s="14">
        <v>0</v>
      </c>
      <c r="F663" s="14">
        <f t="shared" si="300"/>
        <v>6684586.013115</v>
      </c>
      <c r="G663" s="14">
        <f t="shared" si="301"/>
        <v>522164.5068850005</v>
      </c>
      <c r="H663" s="14">
        <v>7206750.5200000005</v>
      </c>
      <c r="I663" s="14">
        <v>224788.52000000048</v>
      </c>
      <c r="J663" s="14">
        <f t="shared" si="302"/>
        <v>7431539.040000001</v>
      </c>
    </row>
    <row r="664" spans="1:10" ht="10.5" customHeight="1" x14ac:dyDescent="0.2">
      <c r="A664" s="5">
        <f t="shared" si="296"/>
        <v>664</v>
      </c>
      <c r="B664" s="14" t="s">
        <v>179</v>
      </c>
      <c r="D664" s="17">
        <v>0</v>
      </c>
      <c r="E664" s="14">
        <v>0</v>
      </c>
      <c r="F664" s="14">
        <f t="shared" ref="F664" si="303">D664+E664</f>
        <v>0</v>
      </c>
      <c r="G664" s="14">
        <f t="shared" si="301"/>
        <v>0</v>
      </c>
      <c r="H664" s="14">
        <v>0</v>
      </c>
      <c r="I664" s="14">
        <v>0</v>
      </c>
      <c r="J664" s="14">
        <f t="shared" ref="J664" si="304">SUM(H664:I664)</f>
        <v>0</v>
      </c>
    </row>
    <row r="665" spans="1:10" ht="10.5" customHeight="1" x14ac:dyDescent="0.2">
      <c r="A665" s="5">
        <f t="shared" si="296"/>
        <v>665</v>
      </c>
      <c r="B665" s="14" t="s">
        <v>145</v>
      </c>
      <c r="D665" s="17">
        <v>6985900.2034079991</v>
      </c>
      <c r="E665" s="14">
        <v>0</v>
      </c>
      <c r="F665" s="14">
        <f t="shared" si="300"/>
        <v>6985900.2034079991</v>
      </c>
      <c r="G665" s="14">
        <f t="shared" si="301"/>
        <v>458021.14659200143</v>
      </c>
      <c r="H665" s="14">
        <v>7443921.3500000006</v>
      </c>
      <c r="I665" s="14">
        <v>260151.60999999847</v>
      </c>
      <c r="J665" s="14">
        <f t="shared" si="302"/>
        <v>7704072.959999999</v>
      </c>
    </row>
    <row r="666" spans="1:10" ht="10.5" customHeight="1" x14ac:dyDescent="0.2">
      <c r="A666" s="5">
        <f t="shared" si="296"/>
        <v>666</v>
      </c>
      <c r="B666" s="14" t="s">
        <v>146</v>
      </c>
      <c r="D666" s="17">
        <v>3763905.7157949996</v>
      </c>
      <c r="E666" s="14">
        <v>0</v>
      </c>
      <c r="F666" s="14">
        <f t="shared" si="300"/>
        <v>3763905.7157949996</v>
      </c>
      <c r="G666" s="14">
        <f t="shared" si="301"/>
        <v>225480.80420500087</v>
      </c>
      <c r="H666" s="14">
        <v>3989386.5200000005</v>
      </c>
      <c r="I666" s="14">
        <v>106947.15999999968</v>
      </c>
      <c r="J666" s="14">
        <f t="shared" si="302"/>
        <v>4096333.68</v>
      </c>
    </row>
    <row r="667" spans="1:10" ht="10.5" customHeight="1" x14ac:dyDescent="0.2">
      <c r="A667" s="5">
        <f t="shared" si="296"/>
        <v>667</v>
      </c>
      <c r="B667" s="14" t="s">
        <v>147</v>
      </c>
      <c r="D667" s="17">
        <v>1364372.8249610001</v>
      </c>
      <c r="E667" s="14">
        <v>0</v>
      </c>
      <c r="F667" s="14">
        <f t="shared" si="300"/>
        <v>1364372.8249610001</v>
      </c>
      <c r="G667" s="14">
        <f t="shared" si="301"/>
        <v>84102.775038999971</v>
      </c>
      <c r="H667" s="14">
        <v>1448475.6</v>
      </c>
      <c r="I667" s="14">
        <v>89460.600000000093</v>
      </c>
      <c r="J667" s="14">
        <f t="shared" si="302"/>
        <v>1537936.2000000002</v>
      </c>
    </row>
    <row r="668" spans="1:10" ht="10.5" customHeight="1" x14ac:dyDescent="0.2">
      <c r="A668" s="5">
        <f t="shared" si="296"/>
        <v>668</v>
      </c>
      <c r="B668" s="14" t="s">
        <v>148</v>
      </c>
      <c r="D668" s="17">
        <v>8038734.376155002</v>
      </c>
      <c r="E668" s="14">
        <v>0</v>
      </c>
      <c r="F668" s="14">
        <f t="shared" si="300"/>
        <v>8038734.376155002</v>
      </c>
      <c r="G668" s="14">
        <f t="shared" si="301"/>
        <v>503295.19384500012</v>
      </c>
      <c r="H668" s="14">
        <v>8542029.5700000022</v>
      </c>
      <c r="I668" s="14">
        <v>548238.74999999814</v>
      </c>
      <c r="J668" s="14">
        <f t="shared" si="302"/>
        <v>9090268.3200000003</v>
      </c>
    </row>
    <row r="669" spans="1:10" ht="10.5" customHeight="1" x14ac:dyDescent="0.2">
      <c r="A669" s="5">
        <f t="shared" si="296"/>
        <v>669</v>
      </c>
      <c r="B669" s="14" t="s">
        <v>149</v>
      </c>
      <c r="D669" s="17">
        <v>15331949.974352</v>
      </c>
      <c r="E669" s="14">
        <v>0</v>
      </c>
      <c r="F669" s="14">
        <f t="shared" si="300"/>
        <v>15331949.974352</v>
      </c>
      <c r="G669" s="14">
        <f t="shared" si="301"/>
        <v>1015534.4056479987</v>
      </c>
      <c r="H669" s="14">
        <v>16347484.379999999</v>
      </c>
      <c r="I669" s="14">
        <v>442024.26000000164</v>
      </c>
      <c r="J669" s="14">
        <f t="shared" si="302"/>
        <v>16789508.640000001</v>
      </c>
    </row>
    <row r="670" spans="1:10" ht="10.5" customHeight="1" x14ac:dyDescent="0.2">
      <c r="A670" s="5">
        <f t="shared" si="296"/>
        <v>670</v>
      </c>
      <c r="B670" s="14" t="s">
        <v>150</v>
      </c>
      <c r="D670" s="17">
        <v>1219271.0668769998</v>
      </c>
      <c r="E670" s="14">
        <v>0</v>
      </c>
      <c r="F670" s="14">
        <f t="shared" si="300"/>
        <v>1219271.0668769998</v>
      </c>
      <c r="G670" s="14">
        <f t="shared" si="301"/>
        <v>31416.263123000041</v>
      </c>
      <c r="H670" s="14">
        <v>1250687.3299999998</v>
      </c>
      <c r="I670" s="14">
        <v>12737.230000000214</v>
      </c>
      <c r="J670" s="14">
        <f t="shared" si="302"/>
        <v>1263424.56</v>
      </c>
    </row>
    <row r="671" spans="1:10" ht="10.5" customHeight="1" x14ac:dyDescent="0.2">
      <c r="A671" s="5">
        <f t="shared" si="296"/>
        <v>671</v>
      </c>
      <c r="B671" s="14" t="s">
        <v>151</v>
      </c>
      <c r="D671" s="17">
        <v>6059766.3927139994</v>
      </c>
      <c r="E671" s="14">
        <v>0</v>
      </c>
      <c r="F671" s="14">
        <f t="shared" si="300"/>
        <v>6059766.3927139994</v>
      </c>
      <c r="G671" s="14">
        <f t="shared" si="301"/>
        <v>388943.42728600092</v>
      </c>
      <c r="H671" s="14">
        <v>6448709.8200000003</v>
      </c>
      <c r="I671" s="14">
        <v>158929.25999999978</v>
      </c>
      <c r="J671" s="14">
        <f t="shared" si="302"/>
        <v>6607639.0800000001</v>
      </c>
    </row>
    <row r="672" spans="1:10" ht="10.5" customHeight="1" x14ac:dyDescent="0.2">
      <c r="A672" s="5">
        <f t="shared" si="296"/>
        <v>672</v>
      </c>
      <c r="B672" s="14" t="s">
        <v>152</v>
      </c>
      <c r="D672" s="17">
        <v>235876.05000000002</v>
      </c>
      <c r="E672" s="14">
        <v>0</v>
      </c>
      <c r="F672" s="14">
        <f t="shared" si="300"/>
        <v>235876.05000000002</v>
      </c>
      <c r="G672" s="14">
        <f t="shared" si="301"/>
        <v>-2864.1200000000244</v>
      </c>
      <c r="H672" s="14">
        <v>233011.93</v>
      </c>
      <c r="I672" s="14">
        <v>59.75</v>
      </c>
      <c r="J672" s="14">
        <f t="shared" si="302"/>
        <v>233071.68</v>
      </c>
    </row>
    <row r="673" spans="1:10" ht="10.5" customHeight="1" x14ac:dyDescent="0.2">
      <c r="A673" s="5">
        <f t="shared" si="296"/>
        <v>673</v>
      </c>
      <c r="B673" s="14" t="s">
        <v>153</v>
      </c>
      <c r="D673" s="17">
        <v>230925.92000000004</v>
      </c>
      <c r="E673" s="14">
        <v>0</v>
      </c>
      <c r="F673" s="14">
        <f t="shared" si="300"/>
        <v>230925.92000000004</v>
      </c>
      <c r="G673" s="14">
        <f t="shared" si="301"/>
        <v>-568.80999999999767</v>
      </c>
      <c r="H673" s="14">
        <v>230357.11000000004</v>
      </c>
      <c r="I673" s="14">
        <v>-30.550000000046566</v>
      </c>
      <c r="J673" s="14">
        <f t="shared" si="302"/>
        <v>230326.56</v>
      </c>
    </row>
    <row r="674" spans="1:10" ht="10.5" customHeight="1" x14ac:dyDescent="0.2">
      <c r="A674" s="5">
        <f t="shared" si="296"/>
        <v>674</v>
      </c>
      <c r="B674" s="14" t="s">
        <v>66</v>
      </c>
      <c r="C674" s="14" t="s">
        <v>154</v>
      </c>
      <c r="D674" s="17">
        <f>SUM(D661:D673)</f>
        <v>51386135.517377004</v>
      </c>
      <c r="E674" s="17">
        <f>SUM(E661:E673)</f>
        <v>0</v>
      </c>
      <c r="F674" s="14">
        <f t="shared" si="300"/>
        <v>51386135.517377004</v>
      </c>
      <c r="G674" s="14">
        <f t="shared" si="301"/>
        <v>3329170.0126229972</v>
      </c>
      <c r="H674" s="14">
        <f>SUM(H661:H673)</f>
        <v>54715305.530000001</v>
      </c>
      <c r="I674" s="14">
        <f>SUM(I661:I673)</f>
        <v>1912193.8299999984</v>
      </c>
      <c r="J674" s="14">
        <f t="shared" si="302"/>
        <v>56627499.359999999</v>
      </c>
    </row>
    <row r="675" spans="1:10" ht="10.5" customHeight="1" x14ac:dyDescent="0.2">
      <c r="A675" s="5">
        <f t="shared" si="296"/>
        <v>675</v>
      </c>
      <c r="B675" s="13" t="str">
        <f>B641</f>
        <v>TABLE 6-DEPRECIATION &amp; AMORTIZATION EXPENSE</v>
      </c>
      <c r="D675" s="17"/>
      <c r="E675" s="14"/>
      <c r="J675" s="14"/>
    </row>
    <row r="676" spans="1:10" ht="10.5" customHeight="1" x14ac:dyDescent="0.2">
      <c r="A676" s="5">
        <f t="shared" si="296"/>
        <v>676</v>
      </c>
      <c r="B676" s="13"/>
      <c r="D676" s="17"/>
      <c r="E676" s="14"/>
      <c r="J676" s="14"/>
    </row>
    <row r="677" spans="1:10" ht="10.5" customHeight="1" x14ac:dyDescent="0.2">
      <c r="A677" s="5">
        <f t="shared" si="296"/>
        <v>677</v>
      </c>
      <c r="B677" s="14" t="s">
        <v>482</v>
      </c>
      <c r="D677" s="17"/>
      <c r="E677" s="14"/>
      <c r="J677" s="14"/>
    </row>
    <row r="678" spans="1:10" ht="10.5" customHeight="1" x14ac:dyDescent="0.2">
      <c r="A678" s="5">
        <f t="shared" si="296"/>
        <v>678</v>
      </c>
      <c r="B678" s="14" t="s">
        <v>155</v>
      </c>
      <c r="D678" s="17">
        <v>9634620.1900000013</v>
      </c>
      <c r="E678" s="14">
        <v>0</v>
      </c>
      <c r="F678" s="14">
        <f>D678+E678</f>
        <v>9634620.1900000013</v>
      </c>
      <c r="G678" s="14">
        <f t="shared" ref="G678" si="305">$H678-$F678</f>
        <v>13096848.339999996</v>
      </c>
      <c r="H678" s="14">
        <v>22731468.529999997</v>
      </c>
      <c r="I678" s="14">
        <v>2964663.5500000007</v>
      </c>
      <c r="J678" s="14">
        <f t="shared" ref="J678" si="306">SUM(H678:I678)</f>
        <v>25696132.079999998</v>
      </c>
    </row>
    <row r="679" spans="1:10" ht="10.5" customHeight="1" x14ac:dyDescent="0.2">
      <c r="A679" s="5">
        <f t="shared" si="296"/>
        <v>679</v>
      </c>
      <c r="B679" s="16"/>
      <c r="C679" s="14" t="s">
        <v>483</v>
      </c>
      <c r="D679" s="17">
        <f>SUM(D678)</f>
        <v>9634620.1900000013</v>
      </c>
      <c r="E679" s="17">
        <f t="shared" ref="E679:J679" si="307">SUM(E678)</f>
        <v>0</v>
      </c>
      <c r="F679" s="17">
        <f t="shared" si="307"/>
        <v>9634620.1900000013</v>
      </c>
      <c r="G679" s="17">
        <f t="shared" si="307"/>
        <v>13096848.339999996</v>
      </c>
      <c r="H679" s="17">
        <f t="shared" si="307"/>
        <v>22731468.529999997</v>
      </c>
      <c r="I679" s="17">
        <f t="shared" si="307"/>
        <v>2964663.5500000007</v>
      </c>
      <c r="J679" s="17">
        <f t="shared" si="307"/>
        <v>25696132.079999998</v>
      </c>
    </row>
    <row r="680" spans="1:10" ht="10.5" customHeight="1" x14ac:dyDescent="0.2">
      <c r="A680" s="5">
        <f t="shared" si="296"/>
        <v>680</v>
      </c>
      <c r="B680" s="14" t="s">
        <v>41</v>
      </c>
      <c r="D680" s="17"/>
      <c r="E680" s="14"/>
      <c r="J680" s="14"/>
    </row>
    <row r="681" spans="1:10" ht="10.5" customHeight="1" x14ac:dyDescent="0.2">
      <c r="A681" s="5">
        <f t="shared" si="296"/>
        <v>681</v>
      </c>
      <c r="B681" s="14" t="str">
        <f>(B247)</f>
        <v>GENERAL PLANT</v>
      </c>
      <c r="D681" s="17"/>
      <c r="E681" s="14"/>
      <c r="J681" s="14"/>
    </row>
    <row r="682" spans="1:10" ht="10.5" customHeight="1" x14ac:dyDescent="0.2">
      <c r="A682" s="5">
        <f t="shared" si="296"/>
        <v>682</v>
      </c>
      <c r="B682" s="14" t="s">
        <v>157</v>
      </c>
      <c r="D682" s="17">
        <v>0</v>
      </c>
      <c r="E682" s="14">
        <v>0</v>
      </c>
      <c r="F682" s="14">
        <f>D682+E682</f>
        <v>0</v>
      </c>
      <c r="G682" s="14">
        <f t="shared" ref="G682:G692" si="308">$H682-$F682</f>
        <v>0</v>
      </c>
      <c r="H682" s="14">
        <v>0</v>
      </c>
      <c r="I682" s="14">
        <v>0</v>
      </c>
      <c r="J682" s="14">
        <f t="shared" ref="J682:J692" si="309">SUM(H682:I682)</f>
        <v>0</v>
      </c>
    </row>
    <row r="683" spans="1:10" ht="10.5" customHeight="1" x14ac:dyDescent="0.2">
      <c r="A683" s="5">
        <f t="shared" si="296"/>
        <v>683</v>
      </c>
      <c r="B683" s="14" t="s">
        <v>158</v>
      </c>
      <c r="D683" s="17">
        <v>3674196.7899999996</v>
      </c>
      <c r="E683" s="14">
        <v>0</v>
      </c>
      <c r="F683" s="14">
        <f>D683+E683</f>
        <v>3674196.7899999996</v>
      </c>
      <c r="G683" s="14">
        <f t="shared" si="308"/>
        <v>362393.32000000123</v>
      </c>
      <c r="H683" s="14">
        <v>4036590.1100000008</v>
      </c>
      <c r="I683" s="14">
        <v>179113.08999999845</v>
      </c>
      <c r="J683" s="14">
        <f t="shared" si="309"/>
        <v>4215703.1999999993</v>
      </c>
    </row>
    <row r="684" spans="1:10" ht="10.5" customHeight="1" x14ac:dyDescent="0.2">
      <c r="A684" s="5">
        <f t="shared" si="296"/>
        <v>684</v>
      </c>
      <c r="B684" s="14" t="s">
        <v>159</v>
      </c>
      <c r="D684" s="17">
        <v>7012428.7380119991</v>
      </c>
      <c r="E684" s="14">
        <v>0</v>
      </c>
      <c r="F684" s="14">
        <f t="shared" ref="F684:F692" si="310">D684+E684</f>
        <v>7012428.7380119991</v>
      </c>
      <c r="G684" s="14">
        <f t="shared" si="308"/>
        <v>71941.621987999417</v>
      </c>
      <c r="H684" s="14">
        <v>7084370.3599999985</v>
      </c>
      <c r="I684" s="14">
        <v>63998.920000002719</v>
      </c>
      <c r="J684" s="14">
        <f t="shared" si="309"/>
        <v>7148369.2800000012</v>
      </c>
    </row>
    <row r="685" spans="1:10" ht="10.5" customHeight="1" x14ac:dyDescent="0.2">
      <c r="A685" s="5">
        <f t="shared" si="296"/>
        <v>685</v>
      </c>
      <c r="B685" s="14" t="s">
        <v>160</v>
      </c>
      <c r="D685" s="17">
        <v>72443.889999999985</v>
      </c>
      <c r="E685" s="14">
        <v>0</v>
      </c>
      <c r="F685" s="14">
        <f>D685+E685</f>
        <v>72443.889999999985</v>
      </c>
      <c r="G685" s="14">
        <f t="shared" si="308"/>
        <v>-9.9999999947613105E-3</v>
      </c>
      <c r="H685" s="14">
        <v>72443.87999999999</v>
      </c>
      <c r="I685" s="14">
        <v>0</v>
      </c>
      <c r="J685" s="14">
        <f t="shared" si="309"/>
        <v>72443.87999999999</v>
      </c>
    </row>
    <row r="686" spans="1:10" ht="10.5" customHeight="1" x14ac:dyDescent="0.2">
      <c r="A686" s="5">
        <f t="shared" si="296"/>
        <v>686</v>
      </c>
      <c r="B686" s="14" t="s">
        <v>161</v>
      </c>
      <c r="D686" s="17">
        <v>326527.57999999996</v>
      </c>
      <c r="E686" s="14">
        <v>0</v>
      </c>
      <c r="F686" s="14">
        <f t="shared" si="310"/>
        <v>326527.57999999996</v>
      </c>
      <c r="G686" s="14">
        <f t="shared" si="308"/>
        <v>88672.579999999958</v>
      </c>
      <c r="H686" s="14">
        <v>415200.15999999992</v>
      </c>
      <c r="I686" s="14">
        <v>18376.160000000091</v>
      </c>
      <c r="J686" s="14">
        <f t="shared" si="309"/>
        <v>433576.32</v>
      </c>
    </row>
    <row r="687" spans="1:10" ht="10.5" customHeight="1" x14ac:dyDescent="0.2">
      <c r="A687" s="5">
        <f t="shared" si="296"/>
        <v>687</v>
      </c>
      <c r="B687" s="14" t="s">
        <v>162</v>
      </c>
      <c r="D687" s="17">
        <v>833133.6</v>
      </c>
      <c r="E687" s="14">
        <v>0</v>
      </c>
      <c r="F687" s="14">
        <f t="shared" si="310"/>
        <v>833133.6</v>
      </c>
      <c r="G687" s="14">
        <f t="shared" si="308"/>
        <v>43087.660000000033</v>
      </c>
      <c r="H687" s="14">
        <v>876221.26</v>
      </c>
      <c r="I687" s="14">
        <v>14352.500000000116</v>
      </c>
      <c r="J687" s="14">
        <f t="shared" si="309"/>
        <v>890573.76000000013</v>
      </c>
    </row>
    <row r="688" spans="1:10" ht="10.5" customHeight="1" x14ac:dyDescent="0.2">
      <c r="A688" s="5">
        <f t="shared" si="296"/>
        <v>688</v>
      </c>
      <c r="B688" s="14" t="s">
        <v>163</v>
      </c>
      <c r="D688" s="17">
        <v>857840.7</v>
      </c>
      <c r="E688" s="14">
        <v>0</v>
      </c>
      <c r="F688" s="14">
        <f t="shared" si="310"/>
        <v>857840.7</v>
      </c>
      <c r="G688" s="14">
        <f t="shared" si="308"/>
        <v>19122.849999999977</v>
      </c>
      <c r="H688" s="14">
        <v>876963.54999999993</v>
      </c>
      <c r="I688" s="14">
        <v>11441.090000000084</v>
      </c>
      <c r="J688" s="14">
        <f t="shared" si="309"/>
        <v>888404.64</v>
      </c>
    </row>
    <row r="689" spans="1:10" ht="10.5" customHeight="1" x14ac:dyDescent="0.2">
      <c r="A689" s="5">
        <f t="shared" si="296"/>
        <v>689</v>
      </c>
      <c r="B689" s="14" t="s">
        <v>164</v>
      </c>
      <c r="D689" s="17">
        <v>0</v>
      </c>
      <c r="E689" s="14">
        <v>0</v>
      </c>
      <c r="F689" s="14">
        <f t="shared" si="310"/>
        <v>0</v>
      </c>
      <c r="G689" s="14">
        <f t="shared" si="308"/>
        <v>0</v>
      </c>
      <c r="H689" s="14">
        <v>0</v>
      </c>
      <c r="I689" s="14">
        <v>0</v>
      </c>
      <c r="J689" s="14">
        <f t="shared" si="309"/>
        <v>0</v>
      </c>
    </row>
    <row r="690" spans="1:10" ht="10.5" customHeight="1" x14ac:dyDescent="0.2">
      <c r="A690" s="5">
        <f t="shared" si="296"/>
        <v>690</v>
      </c>
      <c r="B690" s="14" t="s">
        <v>165</v>
      </c>
      <c r="D690" s="17">
        <v>5548230.0170400003</v>
      </c>
      <c r="E690" s="14">
        <v>0</v>
      </c>
      <c r="F690" s="14">
        <f t="shared" si="310"/>
        <v>5548230.0170400003</v>
      </c>
      <c r="G690" s="14">
        <f t="shared" si="308"/>
        <v>177055.45295999851</v>
      </c>
      <c r="H690" s="14">
        <v>5725285.4699999988</v>
      </c>
      <c r="I690" s="14">
        <v>133831.41000000108</v>
      </c>
      <c r="J690" s="14">
        <f t="shared" si="309"/>
        <v>5859116.8799999999</v>
      </c>
    </row>
    <row r="691" spans="1:10" ht="10.5" customHeight="1" x14ac:dyDescent="0.2">
      <c r="A691" s="5">
        <f t="shared" si="296"/>
        <v>691</v>
      </c>
      <c r="B691" s="14" t="s">
        <v>166</v>
      </c>
      <c r="D691" s="17">
        <v>809147.09909199993</v>
      </c>
      <c r="E691" s="14">
        <v>0</v>
      </c>
      <c r="F691" s="14">
        <f t="shared" si="310"/>
        <v>809147.09909199993</v>
      </c>
      <c r="G691" s="14">
        <f t="shared" si="308"/>
        <v>24684.900908000069</v>
      </c>
      <c r="H691" s="14">
        <v>833832</v>
      </c>
      <c r="I691" s="14">
        <v>29668.079999999958</v>
      </c>
      <c r="J691" s="14">
        <f t="shared" si="309"/>
        <v>863500.08</v>
      </c>
    </row>
    <row r="692" spans="1:10" ht="10.5" customHeight="1" x14ac:dyDescent="0.2">
      <c r="A692" s="5">
        <f t="shared" si="296"/>
        <v>692</v>
      </c>
      <c r="B692" s="14" t="s">
        <v>66</v>
      </c>
      <c r="C692" s="14" t="s">
        <v>167</v>
      </c>
      <c r="D692" s="17">
        <f>SUM(D682:D691)</f>
        <v>19133948.414143998</v>
      </c>
      <c r="E692" s="17">
        <f>SUM(E682:E691)</f>
        <v>0</v>
      </c>
      <c r="F692" s="14">
        <f t="shared" si="310"/>
        <v>19133948.414143998</v>
      </c>
      <c r="G692" s="14">
        <f t="shared" si="308"/>
        <v>786958.37585600093</v>
      </c>
      <c r="H692" s="14">
        <f>SUM(H682:H691)</f>
        <v>19920906.789999999</v>
      </c>
      <c r="I692" s="14">
        <f>SUM(I682:I691)</f>
        <v>450781.2500000025</v>
      </c>
      <c r="J692" s="14">
        <f t="shared" si="309"/>
        <v>20371688.040000003</v>
      </c>
    </row>
    <row r="693" spans="1:10" ht="10.5" customHeight="1" x14ac:dyDescent="0.2">
      <c r="A693" s="5">
        <f t="shared" si="296"/>
        <v>693</v>
      </c>
      <c r="D693" s="17"/>
      <c r="E693" s="14"/>
      <c r="J693" s="14"/>
    </row>
    <row r="694" spans="1:10" ht="10.5" customHeight="1" x14ac:dyDescent="0.2">
      <c r="A694" s="5">
        <f t="shared" si="296"/>
        <v>694</v>
      </c>
      <c r="B694" s="14" t="str">
        <f>(B262)</f>
        <v/>
      </c>
      <c r="C694" s="14" t="s">
        <v>484</v>
      </c>
      <c r="D694" s="17">
        <f>SUM(D648+D658+D674+D678+D692)</f>
        <v>215003252.98173705</v>
      </c>
      <c r="E694" s="17">
        <f>SUM(E648+E658+E674+E678+E692)</f>
        <v>-49614949.82</v>
      </c>
      <c r="F694" s="14">
        <f>D694+E694</f>
        <v>165388303.16173705</v>
      </c>
      <c r="G694" s="14">
        <f>$H694-$F694</f>
        <v>21182023.681665868</v>
      </c>
      <c r="H694" s="17">
        <f>SUM(H648+H658+H674+H678+H692)</f>
        <v>186570326.84340292</v>
      </c>
      <c r="I694" s="17">
        <f>SUM(I648+I658+I674+I678+I692)</f>
        <v>6970289.43659708</v>
      </c>
      <c r="J694" s="14">
        <f>SUM(H694:I694)</f>
        <v>193540616.28</v>
      </c>
    </row>
    <row r="695" spans="1:10" ht="10.5" customHeight="1" x14ac:dyDescent="0.2">
      <c r="A695" s="5">
        <f t="shared" si="296"/>
        <v>695</v>
      </c>
      <c r="B695" s="14" t="str">
        <f>(B263)</f>
        <v/>
      </c>
      <c r="C695" s="14" t="str">
        <f>(C263)</f>
        <v/>
      </c>
      <c r="D695" s="17"/>
      <c r="E695" s="14"/>
      <c r="J695" s="14"/>
    </row>
    <row r="696" spans="1:10" ht="10.5" customHeight="1" x14ac:dyDescent="0.2">
      <c r="A696" s="5">
        <f t="shared" si="296"/>
        <v>696</v>
      </c>
      <c r="B696" s="73" t="s">
        <v>485</v>
      </c>
      <c r="C696" s="73"/>
      <c r="D696" s="17">
        <v>-296299.31999999995</v>
      </c>
      <c r="E696" s="14">
        <v>0</v>
      </c>
      <c r="F696" s="14">
        <f>D696+E696</f>
        <v>-296299.31999999995</v>
      </c>
      <c r="G696" s="14">
        <f>$H696-$F696</f>
        <v>0</v>
      </c>
      <c r="H696" s="14">
        <v>-296299.31999999995</v>
      </c>
      <c r="I696" s="14">
        <v>0</v>
      </c>
      <c r="J696" s="14">
        <f>SUM(H696:I696)</f>
        <v>-296299.31999999995</v>
      </c>
    </row>
    <row r="697" spans="1:10" ht="10.5" customHeight="1" x14ac:dyDescent="0.2">
      <c r="A697" s="5">
        <f t="shared" si="296"/>
        <v>697</v>
      </c>
      <c r="B697" s="73" t="s">
        <v>66</v>
      </c>
      <c r="C697" s="73" t="s">
        <v>484</v>
      </c>
      <c r="D697" s="17">
        <f>SUM(D694:D696)</f>
        <v>214706953.66173705</v>
      </c>
      <c r="E697" s="17">
        <f>SUM(E694:E696)</f>
        <v>-49614949.82</v>
      </c>
      <c r="F697" s="14">
        <f>D697+E697</f>
        <v>165092003.84173706</v>
      </c>
      <c r="G697" s="14">
        <f>$H697-$F697</f>
        <v>21182023.681665868</v>
      </c>
      <c r="H697" s="17">
        <f>SUM(H694:H696)</f>
        <v>186274027.52340293</v>
      </c>
      <c r="I697" s="17">
        <f>SUM(I694:I696)</f>
        <v>6970289.43659708</v>
      </c>
      <c r="J697" s="14">
        <f>SUM(H697:I697)</f>
        <v>193244316.96000001</v>
      </c>
    </row>
    <row r="698" spans="1:10" ht="10.5" customHeight="1" x14ac:dyDescent="0.2">
      <c r="A698" s="5">
        <f t="shared" si="296"/>
        <v>698</v>
      </c>
      <c r="B698" s="73" t="s">
        <v>66</v>
      </c>
      <c r="C698" s="73" t="s">
        <v>66</v>
      </c>
    </row>
    <row r="699" spans="1:10" ht="10.5" customHeight="1" x14ac:dyDescent="0.2">
      <c r="A699" s="5">
        <f t="shared" si="296"/>
        <v>699</v>
      </c>
      <c r="B699" s="73" t="s">
        <v>486</v>
      </c>
      <c r="C699" s="73"/>
      <c r="E699" s="14"/>
      <c r="J699" s="14"/>
    </row>
    <row r="700" spans="1:10" ht="10.5" customHeight="1" x14ac:dyDescent="0.2">
      <c r="A700" s="5">
        <f t="shared" si="296"/>
        <v>700</v>
      </c>
      <c r="B700" s="73" t="s">
        <v>66</v>
      </c>
      <c r="C700" s="17" t="s">
        <v>183</v>
      </c>
      <c r="D700" s="17">
        <v>1508015.4300000002</v>
      </c>
      <c r="E700" s="14">
        <v>0</v>
      </c>
      <c r="F700" s="14">
        <f>D700+E700</f>
        <v>1508015.4300000002</v>
      </c>
      <c r="G700" s="14">
        <f>$H700-$F700</f>
        <v>186203.11999999965</v>
      </c>
      <c r="H700" s="17">
        <v>1694218.5499999998</v>
      </c>
      <c r="I700" s="14">
        <v>55046.050000000047</v>
      </c>
      <c r="J700" s="14">
        <f>SUM(H700:I700)</f>
        <v>1749264.5999999999</v>
      </c>
    </row>
    <row r="701" spans="1:10" ht="10.5" customHeight="1" x14ac:dyDescent="0.2">
      <c r="A701" s="5">
        <f t="shared" si="296"/>
        <v>701</v>
      </c>
      <c r="B701" s="73" t="s">
        <v>66</v>
      </c>
      <c r="C701" s="17" t="s">
        <v>184</v>
      </c>
      <c r="D701" s="17">
        <v>6093756.6300000008</v>
      </c>
      <c r="E701" s="14">
        <v>0</v>
      </c>
      <c r="F701" s="14">
        <f>D701+E701</f>
        <v>6093756.6300000008</v>
      </c>
      <c r="G701" s="14">
        <f t="shared" ref="G701" si="311">$H701-$F701</f>
        <v>1900364.129999998</v>
      </c>
      <c r="H701" s="17">
        <v>7994120.7599999988</v>
      </c>
      <c r="I701" s="17">
        <v>274151.52000000048</v>
      </c>
      <c r="J701" s="14">
        <f>SUM(H701:I701)</f>
        <v>8268272.2799999993</v>
      </c>
    </row>
    <row r="702" spans="1:10" ht="10.5" customHeight="1" x14ac:dyDescent="0.2">
      <c r="A702" s="5">
        <f t="shared" si="296"/>
        <v>702</v>
      </c>
      <c r="B702" s="73" t="s">
        <v>66</v>
      </c>
      <c r="C702" s="73" t="s">
        <v>487</v>
      </c>
      <c r="D702" s="17">
        <v>15017.88</v>
      </c>
      <c r="E702" s="14">
        <v>0</v>
      </c>
      <c r="F702" s="14">
        <f>D702+E702</f>
        <v>15017.88</v>
      </c>
      <c r="G702" s="14">
        <f>$H702-$F702</f>
        <v>0.12000000000080036</v>
      </c>
      <c r="H702" s="17">
        <v>15018</v>
      </c>
      <c r="I702" s="17">
        <v>0</v>
      </c>
      <c r="J702" s="14">
        <f>SUM(H702:I702)</f>
        <v>15018</v>
      </c>
    </row>
    <row r="703" spans="1:10" ht="10.5" customHeight="1" x14ac:dyDescent="0.2">
      <c r="A703" s="5">
        <f t="shared" si="296"/>
        <v>703</v>
      </c>
      <c r="B703" s="73" t="s">
        <v>66</v>
      </c>
      <c r="C703" s="73" t="s">
        <v>488</v>
      </c>
      <c r="D703" s="17">
        <f>SUM(D700:D702)</f>
        <v>7616789.9400000004</v>
      </c>
      <c r="E703" s="17">
        <f>SUM(E700:E702)</f>
        <v>0</v>
      </c>
      <c r="F703" s="14">
        <f>D703+E703</f>
        <v>7616789.9400000004</v>
      </c>
      <c r="G703" s="17">
        <f>SUM(G700:G702)</f>
        <v>2086567.3699999978</v>
      </c>
      <c r="H703" s="17">
        <f>SUM(H700:H702)</f>
        <v>9703357.3099999987</v>
      </c>
      <c r="I703" s="17">
        <f>SUM(I700:I702)</f>
        <v>329197.57000000053</v>
      </c>
      <c r="J703" s="14">
        <f>SUM(H703:I703)</f>
        <v>10032554.879999999</v>
      </c>
    </row>
    <row r="704" spans="1:10" ht="10.5" customHeight="1" x14ac:dyDescent="0.2">
      <c r="A704" s="5">
        <f t="shared" si="296"/>
        <v>704</v>
      </c>
      <c r="B704" s="73" t="s">
        <v>66</v>
      </c>
      <c r="C704" s="73" t="s">
        <v>66</v>
      </c>
      <c r="D704" s="17"/>
      <c r="E704" s="14"/>
      <c r="H704" s="17"/>
      <c r="I704" s="17"/>
      <c r="J704" s="14"/>
    </row>
    <row r="705" spans="1:10" ht="10.5" customHeight="1" x14ac:dyDescent="0.2">
      <c r="A705" s="5">
        <f t="shared" si="296"/>
        <v>705</v>
      </c>
      <c r="B705" s="73" t="s">
        <v>66</v>
      </c>
      <c r="C705" s="73" t="s">
        <v>489</v>
      </c>
      <c r="D705" s="17">
        <f>SUM(D697+D703)</f>
        <v>222323743.60173705</v>
      </c>
      <c r="E705" s="17">
        <f>SUM(E697+E703)</f>
        <v>-49614949.82</v>
      </c>
      <c r="F705" s="14">
        <f>D705+E705</f>
        <v>172708793.78173706</v>
      </c>
      <c r="G705" s="17">
        <f>SUM(G697+G703)</f>
        <v>23268591.051665865</v>
      </c>
      <c r="H705" s="17">
        <f t="shared" ref="H705" si="312">SUM(H697+H703)</f>
        <v>195977384.83340293</v>
      </c>
      <c r="I705" s="17">
        <f>SUM(I697+I703)</f>
        <v>7299487.0065970803</v>
      </c>
      <c r="J705" s="14">
        <f>SUM(H705:I705)</f>
        <v>203276871.84</v>
      </c>
    </row>
    <row r="706" spans="1:10" ht="10.5" customHeight="1" x14ac:dyDescent="0.2">
      <c r="A706" s="5">
        <f t="shared" si="296"/>
        <v>706</v>
      </c>
      <c r="B706" s="73"/>
      <c r="C706" s="73"/>
      <c r="E706" s="14"/>
      <c r="J706" s="14"/>
    </row>
    <row r="707" spans="1:10" ht="10.5" customHeight="1" x14ac:dyDescent="0.2">
      <c r="A707" s="5">
        <f t="shared" si="296"/>
        <v>707</v>
      </c>
      <c r="B707" s="13" t="s">
        <v>490</v>
      </c>
      <c r="E707" s="14"/>
      <c r="J707" s="14"/>
    </row>
    <row r="708" spans="1:10" ht="10.5" customHeight="1" x14ac:dyDescent="0.2">
      <c r="A708" s="5">
        <f t="shared" si="296"/>
        <v>708</v>
      </c>
      <c r="B708" s="14" t="s">
        <v>41</v>
      </c>
      <c r="E708" s="14"/>
      <c r="J708" s="14"/>
    </row>
    <row r="709" spans="1:10" ht="10.5" customHeight="1" x14ac:dyDescent="0.2">
      <c r="A709" s="5">
        <f t="shared" si="296"/>
        <v>709</v>
      </c>
      <c r="B709" s="14" t="s">
        <v>31</v>
      </c>
      <c r="E709" s="14"/>
      <c r="J709" s="14"/>
    </row>
    <row r="710" spans="1:10" ht="10.5" customHeight="1" x14ac:dyDescent="0.2">
      <c r="A710" s="5">
        <f t="shared" si="296"/>
        <v>710</v>
      </c>
      <c r="B710" s="14" t="s">
        <v>66</v>
      </c>
      <c r="C710" s="14" t="s">
        <v>491</v>
      </c>
      <c r="E710" s="14"/>
      <c r="J710" s="14"/>
    </row>
    <row r="711" spans="1:10" ht="10.5" customHeight="1" x14ac:dyDescent="0.2">
      <c r="A711" s="5">
        <f t="shared" si="296"/>
        <v>711</v>
      </c>
      <c r="B711" s="14" t="s">
        <v>66</v>
      </c>
      <c r="C711" s="14" t="s">
        <v>492</v>
      </c>
      <c r="D711" s="17">
        <v>21673544.289999999</v>
      </c>
      <c r="E711" s="14">
        <v>0</v>
      </c>
      <c r="F711" s="14">
        <f>D711+E711</f>
        <v>21673544.289999999</v>
      </c>
      <c r="G711" s="14">
        <v>0</v>
      </c>
      <c r="H711" s="17">
        <f>SUM(F711:G711)</f>
        <v>21673544.289999999</v>
      </c>
      <c r="I711" s="14">
        <v>0</v>
      </c>
      <c r="J711" s="14">
        <f>SUM(H711:I711)</f>
        <v>21673544.289999999</v>
      </c>
    </row>
    <row r="712" spans="1:10" ht="10.5" customHeight="1" x14ac:dyDescent="0.2">
      <c r="A712" s="5">
        <f t="shared" si="296"/>
        <v>712</v>
      </c>
      <c r="B712" s="14" t="s">
        <v>66</v>
      </c>
      <c r="C712" s="14" t="s">
        <v>493</v>
      </c>
      <c r="D712" s="17">
        <v>95932.68</v>
      </c>
      <c r="E712" s="14">
        <v>0</v>
      </c>
      <c r="F712" s="14">
        <f>D712+E712</f>
        <v>95932.68</v>
      </c>
      <c r="G712" s="14">
        <v>0</v>
      </c>
      <c r="H712" s="17">
        <f>SUM(F712:G712)</f>
        <v>95932.68</v>
      </c>
      <c r="I712" s="14">
        <v>0</v>
      </c>
      <c r="J712" s="14">
        <f>SUM(H712:I712)</f>
        <v>95932.68</v>
      </c>
    </row>
    <row r="713" spans="1:10" ht="10.5" customHeight="1" x14ac:dyDescent="0.2">
      <c r="A713" s="5">
        <f t="shared" si="296"/>
        <v>713</v>
      </c>
      <c r="B713" s="14" t="s">
        <v>66</v>
      </c>
      <c r="C713" s="14" t="s">
        <v>494</v>
      </c>
      <c r="D713" s="17">
        <v>-22219619.710000001</v>
      </c>
      <c r="E713" s="14">
        <v>0</v>
      </c>
      <c r="F713" s="14">
        <f>D713+E713</f>
        <v>-22219619.710000001</v>
      </c>
      <c r="G713" s="14">
        <v>0</v>
      </c>
      <c r="H713" s="17">
        <f>SUM(F713:G713)</f>
        <v>-22219619.710000001</v>
      </c>
      <c r="I713" s="14">
        <v>0</v>
      </c>
      <c r="J713" s="14">
        <f>SUM(H713:I713)</f>
        <v>-22219619.710000001</v>
      </c>
    </row>
    <row r="714" spans="1:10" ht="10.5" customHeight="1" x14ac:dyDescent="0.2">
      <c r="A714" s="5">
        <f t="shared" si="296"/>
        <v>714</v>
      </c>
      <c r="D714" s="17"/>
      <c r="E714" s="14"/>
      <c r="H714" s="17"/>
      <c r="J714" s="14"/>
    </row>
    <row r="715" spans="1:10" ht="10.5" customHeight="1" x14ac:dyDescent="0.2">
      <c r="A715" s="5">
        <f t="shared" si="296"/>
        <v>715</v>
      </c>
      <c r="B715" s="14" t="s">
        <v>66</v>
      </c>
      <c r="C715" s="14" t="s">
        <v>495</v>
      </c>
      <c r="D715" s="17"/>
      <c r="E715" s="14"/>
      <c r="H715" s="17"/>
      <c r="J715" s="14"/>
    </row>
    <row r="716" spans="1:10" ht="10.5" customHeight="1" x14ac:dyDescent="0.2">
      <c r="A716" s="5">
        <f t="shared" ref="A716:A779" si="313">A715+1</f>
        <v>716</v>
      </c>
      <c r="B716" s="14" t="s">
        <v>66</v>
      </c>
      <c r="C716" s="14" t="s">
        <v>496</v>
      </c>
      <c r="E716" s="14"/>
      <c r="J716" s="14"/>
    </row>
    <row r="717" spans="1:10" ht="10.5" customHeight="1" x14ac:dyDescent="0.2">
      <c r="A717" s="5">
        <f t="shared" si="313"/>
        <v>717</v>
      </c>
      <c r="B717" s="14" t="s">
        <v>66</v>
      </c>
      <c r="C717" s="14" t="s">
        <v>497</v>
      </c>
      <c r="D717" s="17">
        <v>1184614.72</v>
      </c>
      <c r="E717" s="14">
        <v>0</v>
      </c>
      <c r="F717" s="14">
        <f t="shared" ref="F717:F722" si="314">D717+E717</f>
        <v>1184614.72</v>
      </c>
      <c r="G717" s="14">
        <f>H717-F717</f>
        <v>0</v>
      </c>
      <c r="H717" s="17">
        <v>1184614.72</v>
      </c>
      <c r="I717" s="14">
        <v>0</v>
      </c>
      <c r="J717" s="14">
        <f t="shared" ref="J717:J723" si="315">SUM(H717:I717)</f>
        <v>1184614.72</v>
      </c>
    </row>
    <row r="718" spans="1:10" ht="10.5" customHeight="1" x14ac:dyDescent="0.2">
      <c r="A718" s="5">
        <f t="shared" si="313"/>
        <v>718</v>
      </c>
      <c r="B718" s="14" t="s">
        <v>66</v>
      </c>
      <c r="C718" s="14" t="s">
        <v>498</v>
      </c>
      <c r="D718" s="17">
        <v>268797.96999999997</v>
      </c>
      <c r="E718" s="14">
        <v>0</v>
      </c>
      <c r="F718" s="14">
        <f t="shared" si="314"/>
        <v>268797.96999999997</v>
      </c>
      <c r="G718" s="14">
        <f t="shared" ref="G718:G722" si="316">H718-F718</f>
        <v>108160.88823844766</v>
      </c>
      <c r="H718" s="17">
        <v>376958.85823844763</v>
      </c>
      <c r="I718" s="14">
        <v>35518</v>
      </c>
      <c r="J718" s="14">
        <f t="shared" si="315"/>
        <v>412476.85823844763</v>
      </c>
    </row>
    <row r="719" spans="1:10" ht="10.5" customHeight="1" x14ac:dyDescent="0.2">
      <c r="A719" s="5">
        <f t="shared" si="313"/>
        <v>719</v>
      </c>
      <c r="B719" s="14" t="s">
        <v>66</v>
      </c>
      <c r="C719" s="14" t="s">
        <v>499</v>
      </c>
      <c r="D719" s="17">
        <v>2276924.549398453</v>
      </c>
      <c r="E719" s="14">
        <f>(D719/SUM($D$719:$D$722)*10428558)</f>
        <v>2901884.1899499199</v>
      </c>
      <c r="F719" s="14">
        <f>D719+E719</f>
        <v>5178808.7393483724</v>
      </c>
      <c r="G719" s="14">
        <f>H719-F719</f>
        <v>-3662925.2597668669</v>
      </c>
      <c r="H719" s="17">
        <v>1515883.4795815055</v>
      </c>
      <c r="I719" s="14">
        <f>4384</f>
        <v>4384</v>
      </c>
      <c r="J719" s="14">
        <f t="shared" si="315"/>
        <v>1520267.4795815055</v>
      </c>
    </row>
    <row r="720" spans="1:10" ht="10.5" customHeight="1" x14ac:dyDescent="0.2">
      <c r="A720" s="5">
        <f t="shared" si="313"/>
        <v>720</v>
      </c>
      <c r="B720" s="14" t="s">
        <v>66</v>
      </c>
      <c r="C720" s="14" t="s">
        <v>500</v>
      </c>
      <c r="D720" s="17">
        <v>2385554.3670485481</v>
      </c>
      <c r="E720" s="14">
        <f t="shared" ref="E720:E722" si="317">(D720/SUM($D$719:$D$722)*10428558)</f>
        <v>3040330.2137671062</v>
      </c>
      <c r="F720" s="14">
        <f t="shared" si="314"/>
        <v>5425884.5808156542</v>
      </c>
      <c r="G720" s="14">
        <f t="shared" si="316"/>
        <v>-3304560.0080140168</v>
      </c>
      <c r="H720" s="17">
        <v>2121324.5728016375</v>
      </c>
      <c r="I720" s="14">
        <f>17186+7272+37420.4</f>
        <v>61878.400000000001</v>
      </c>
      <c r="J720" s="14">
        <f t="shared" si="315"/>
        <v>2183202.9728016374</v>
      </c>
    </row>
    <row r="721" spans="1:10" ht="10.5" customHeight="1" x14ac:dyDescent="0.2">
      <c r="A721" s="5">
        <f t="shared" si="313"/>
        <v>721</v>
      </c>
      <c r="B721" s="14" t="s">
        <v>66</v>
      </c>
      <c r="C721" s="14" t="s">
        <v>501</v>
      </c>
      <c r="D721" s="17">
        <v>3049389.9679888524</v>
      </c>
      <c r="E721" s="14">
        <f t="shared" si="317"/>
        <v>3886372.3171839747</v>
      </c>
      <c r="F721" s="14">
        <f t="shared" si="314"/>
        <v>6935762.2851728275</v>
      </c>
      <c r="G721" s="14">
        <f t="shared" si="316"/>
        <v>-5228820.4678556975</v>
      </c>
      <c r="H721" s="17">
        <v>1706941.8173171303</v>
      </c>
      <c r="I721" s="14">
        <f>67859.2</f>
        <v>67859.199999999997</v>
      </c>
      <c r="J721" s="14">
        <f t="shared" si="315"/>
        <v>1774801.0173171302</v>
      </c>
    </row>
    <row r="722" spans="1:10" ht="10.5" customHeight="1" x14ac:dyDescent="0.2">
      <c r="A722" s="5">
        <f t="shared" si="313"/>
        <v>722</v>
      </c>
      <c r="B722" s="14" t="s">
        <v>66</v>
      </c>
      <c r="C722" s="14" t="s">
        <v>502</v>
      </c>
      <c r="D722" s="17">
        <v>470759.4255641466</v>
      </c>
      <c r="E722" s="14">
        <f t="shared" si="317"/>
        <v>599971.27909899957</v>
      </c>
      <c r="F722" s="14">
        <f t="shared" si="314"/>
        <v>1070730.7046631463</v>
      </c>
      <c r="G722" s="14">
        <f t="shared" si="316"/>
        <v>-1032370.9026018681</v>
      </c>
      <c r="H722" s="17">
        <v>38359.802061278118</v>
      </c>
      <c r="I722" s="14">
        <v>0</v>
      </c>
      <c r="J722" s="14">
        <f t="shared" si="315"/>
        <v>38359.802061278118</v>
      </c>
    </row>
    <row r="723" spans="1:10" ht="10.5" customHeight="1" x14ac:dyDescent="0.2">
      <c r="A723" s="5">
        <f t="shared" si="313"/>
        <v>723</v>
      </c>
      <c r="B723" s="14" t="s">
        <v>22</v>
      </c>
      <c r="C723" s="14" t="s">
        <v>503</v>
      </c>
      <c r="D723" s="17">
        <f>SUM(D717:D722)</f>
        <v>9636041</v>
      </c>
      <c r="E723" s="17">
        <f>SUM(E717:E722)</f>
        <v>10428558</v>
      </c>
      <c r="F723" s="14">
        <f>D723+E723</f>
        <v>20064599</v>
      </c>
      <c r="G723" s="14">
        <f>SUM(G717:G722)</f>
        <v>-13120515.750000002</v>
      </c>
      <c r="H723" s="17">
        <f>SUM(F723:G723)</f>
        <v>6944083.2499999981</v>
      </c>
      <c r="I723" s="14">
        <f>SUM(I717:I722)</f>
        <v>169639.59999999998</v>
      </c>
      <c r="J723" s="14">
        <f t="shared" si="315"/>
        <v>7113722.8499999978</v>
      </c>
    </row>
    <row r="724" spans="1:10" ht="10.5" customHeight="1" x14ac:dyDescent="0.2">
      <c r="A724" s="5">
        <f t="shared" si="313"/>
        <v>724</v>
      </c>
      <c r="D724" s="17"/>
      <c r="E724" s="17"/>
      <c r="H724" s="17"/>
      <c r="J724" s="14"/>
    </row>
    <row r="725" spans="1:10" ht="10.5" customHeight="1" x14ac:dyDescent="0.2">
      <c r="A725" s="5">
        <f t="shared" si="313"/>
        <v>725</v>
      </c>
      <c r="C725" s="14" t="s">
        <v>504</v>
      </c>
      <c r="D725" s="17">
        <v>173830</v>
      </c>
      <c r="E725" s="14">
        <v>0</v>
      </c>
      <c r="F725" s="14">
        <f>D725+E725</f>
        <v>173830</v>
      </c>
      <c r="G725" s="14">
        <v>29415</v>
      </c>
      <c r="H725" s="17">
        <f>SUM(F725:G725)</f>
        <v>203245</v>
      </c>
      <c r="I725" s="14">
        <v>0</v>
      </c>
      <c r="J725" s="14">
        <f>SUM(H725:I725)</f>
        <v>203245</v>
      </c>
    </row>
    <row r="726" spans="1:10" ht="10.5" customHeight="1" x14ac:dyDescent="0.2">
      <c r="A726" s="5">
        <f t="shared" si="313"/>
        <v>726</v>
      </c>
      <c r="D726" s="17"/>
      <c r="E726" s="14"/>
      <c r="H726" s="17"/>
      <c r="J726" s="14"/>
    </row>
    <row r="727" spans="1:10" ht="10.5" customHeight="1" x14ac:dyDescent="0.2">
      <c r="A727" s="5">
        <f t="shared" si="313"/>
        <v>727</v>
      </c>
      <c r="B727" s="14" t="s">
        <v>66</v>
      </c>
      <c r="C727" s="14" t="s">
        <v>505</v>
      </c>
      <c r="D727" s="17">
        <v>3885.3899999999985</v>
      </c>
      <c r="E727" s="14">
        <v>0</v>
      </c>
      <c r="F727" s="14">
        <f>D727+E727</f>
        <v>3885.3899999999985</v>
      </c>
      <c r="G727" s="14">
        <v>0</v>
      </c>
      <c r="H727" s="17">
        <f>SUM(F727:G727)</f>
        <v>3885.3899999999985</v>
      </c>
      <c r="I727" s="14">
        <v>0</v>
      </c>
      <c r="J727" s="14">
        <f>SUM(H727:I727)</f>
        <v>3885.3899999999985</v>
      </c>
    </row>
    <row r="728" spans="1:10" ht="10.5" customHeight="1" x14ac:dyDescent="0.2">
      <c r="A728" s="5">
        <f t="shared" si="313"/>
        <v>728</v>
      </c>
      <c r="B728" s="14" t="s">
        <v>66</v>
      </c>
      <c r="C728" s="14" t="s">
        <v>66</v>
      </c>
      <c r="D728" s="17"/>
      <c r="E728" s="14"/>
      <c r="H728" s="17"/>
      <c r="J728" s="14"/>
    </row>
    <row r="729" spans="1:10" ht="10.5" customHeight="1" x14ac:dyDescent="0.2">
      <c r="A729" s="5">
        <f t="shared" si="313"/>
        <v>729</v>
      </c>
      <c r="B729" s="14" t="s">
        <v>66</v>
      </c>
      <c r="C729" s="14" t="s">
        <v>506</v>
      </c>
      <c r="D729" s="17"/>
      <c r="E729" s="14"/>
      <c r="H729" s="17"/>
      <c r="J729" s="14"/>
    </row>
    <row r="730" spans="1:10" ht="10.5" customHeight="1" x14ac:dyDescent="0.2">
      <c r="A730" s="5">
        <f t="shared" si="313"/>
        <v>730</v>
      </c>
      <c r="B730" s="14" t="s">
        <v>66</v>
      </c>
      <c r="C730" s="14" t="s">
        <v>507</v>
      </c>
      <c r="D730" s="17">
        <v>3248611.3800000004</v>
      </c>
      <c r="E730" s="14">
        <v>0</v>
      </c>
      <c r="F730" s="14">
        <f>D730+E730</f>
        <v>3248611.3800000004</v>
      </c>
      <c r="G730" s="14">
        <v>167863</v>
      </c>
      <c r="H730" s="17">
        <f>SUM(F730:G730)</f>
        <v>3416474.3800000004</v>
      </c>
      <c r="I730" s="14">
        <v>0</v>
      </c>
      <c r="J730" s="14">
        <f>SUM(H730:I730)</f>
        <v>3416474.3800000004</v>
      </c>
    </row>
    <row r="731" spans="1:10" ht="10.5" customHeight="1" x14ac:dyDescent="0.2">
      <c r="A731" s="5">
        <f t="shared" si="313"/>
        <v>731</v>
      </c>
      <c r="B731" s="14" t="s">
        <v>66</v>
      </c>
      <c r="C731" s="14" t="s">
        <v>508</v>
      </c>
      <c r="D731" s="17">
        <v>396875.17</v>
      </c>
      <c r="E731" s="14">
        <v>5869</v>
      </c>
      <c r="F731" s="14">
        <f>D731+E731</f>
        <v>402744.17</v>
      </c>
      <c r="G731" s="14">
        <v>0</v>
      </c>
      <c r="H731" s="17">
        <f>SUM(F731:G731)</f>
        <v>402744.17</v>
      </c>
      <c r="I731" s="14">
        <v>0</v>
      </c>
      <c r="J731" s="14">
        <f>SUM(H731:I731)</f>
        <v>402744.17</v>
      </c>
    </row>
    <row r="732" spans="1:10" ht="10.5" customHeight="1" x14ac:dyDescent="0.2">
      <c r="A732" s="5">
        <f t="shared" si="313"/>
        <v>732</v>
      </c>
      <c r="B732" s="14" t="s">
        <v>66</v>
      </c>
      <c r="C732" s="14" t="s">
        <v>66</v>
      </c>
      <c r="D732" s="17"/>
      <c r="E732" s="14"/>
      <c r="H732" s="17"/>
      <c r="J732" s="14"/>
    </row>
    <row r="733" spans="1:10" ht="10.5" customHeight="1" x14ac:dyDescent="0.2">
      <c r="A733" s="5">
        <f t="shared" si="313"/>
        <v>733</v>
      </c>
      <c r="B733" s="14" t="s">
        <v>66</v>
      </c>
      <c r="C733" s="14" t="s">
        <v>509</v>
      </c>
      <c r="D733" s="17"/>
      <c r="E733" s="14"/>
      <c r="H733" s="17"/>
      <c r="J733" s="14"/>
    </row>
    <row r="734" spans="1:10" ht="10.5" customHeight="1" x14ac:dyDescent="0.2">
      <c r="A734" s="5">
        <f t="shared" si="313"/>
        <v>734</v>
      </c>
      <c r="B734" s="14" t="s">
        <v>66</v>
      </c>
      <c r="C734" s="14" t="s">
        <v>508</v>
      </c>
      <c r="D734" s="17">
        <v>967855.84000000008</v>
      </c>
      <c r="E734" s="14">
        <v>0</v>
      </c>
      <c r="F734" s="14">
        <f>D734+E734</f>
        <v>967855.84000000008</v>
      </c>
      <c r="G734" s="75">
        <v>0</v>
      </c>
      <c r="H734" s="17">
        <f>SUM(F734:G734)</f>
        <v>967855.84000000008</v>
      </c>
      <c r="I734" s="14">
        <v>0</v>
      </c>
      <c r="J734" s="14">
        <f>SUM(H734:I734)</f>
        <v>967855.84000000008</v>
      </c>
    </row>
    <row r="735" spans="1:10" ht="10.5" customHeight="1" x14ac:dyDescent="0.2">
      <c r="A735" s="5">
        <f t="shared" si="313"/>
        <v>735</v>
      </c>
      <c r="B735" s="14" t="s">
        <v>66</v>
      </c>
      <c r="C735" s="14" t="s">
        <v>66</v>
      </c>
      <c r="D735" s="17"/>
      <c r="E735" s="14"/>
      <c r="H735" s="17"/>
      <c r="J735" s="14"/>
    </row>
    <row r="736" spans="1:10" ht="10.5" customHeight="1" x14ac:dyDescent="0.2">
      <c r="A736" s="5">
        <f t="shared" si="313"/>
        <v>736</v>
      </c>
      <c r="B736" s="14" t="s">
        <v>66</v>
      </c>
      <c r="C736" s="14" t="s">
        <v>510</v>
      </c>
      <c r="D736" s="17"/>
      <c r="E736" s="14"/>
      <c r="H736" s="17"/>
      <c r="J736" s="14"/>
    </row>
    <row r="737" spans="1:10" ht="10.5" customHeight="1" x14ac:dyDescent="0.2">
      <c r="A737" s="5">
        <f t="shared" si="313"/>
        <v>737</v>
      </c>
      <c r="B737" s="14" t="s">
        <v>66</v>
      </c>
      <c r="C737" s="14" t="s">
        <v>511</v>
      </c>
      <c r="D737" s="17">
        <v>450142.74</v>
      </c>
      <c r="E737" s="14">
        <v>0</v>
      </c>
      <c r="F737" s="14">
        <f>D737+E737</f>
        <v>450142.74</v>
      </c>
      <c r="G737" s="14">
        <v>0</v>
      </c>
      <c r="H737" s="17">
        <f>SUM(F737:G737)</f>
        <v>450142.74</v>
      </c>
      <c r="I737" s="14">
        <v>0</v>
      </c>
      <c r="J737" s="14">
        <f>SUM(H737:I737)</f>
        <v>450142.74</v>
      </c>
    </row>
    <row r="738" spans="1:10" ht="10.5" customHeight="1" x14ac:dyDescent="0.2">
      <c r="A738" s="5">
        <f t="shared" si="313"/>
        <v>738</v>
      </c>
      <c r="B738" s="14" t="s">
        <v>66</v>
      </c>
      <c r="C738" s="14" t="s">
        <v>512</v>
      </c>
      <c r="D738" s="17">
        <v>1724861.76</v>
      </c>
      <c r="E738" s="14">
        <v>0</v>
      </c>
      <c r="F738" s="14">
        <f>D738+E738</f>
        <v>1724861.76</v>
      </c>
      <c r="G738" s="14">
        <f>285628</f>
        <v>285628</v>
      </c>
      <c r="H738" s="17">
        <f>SUM(F738:G738)</f>
        <v>2010489.76</v>
      </c>
      <c r="I738" s="14">
        <v>0</v>
      </c>
      <c r="J738" s="14">
        <f>SUM(H738:I738)</f>
        <v>2010489.76</v>
      </c>
    </row>
    <row r="739" spans="1:10" ht="10.5" customHeight="1" x14ac:dyDescent="0.2">
      <c r="A739" s="5">
        <f t="shared" si="313"/>
        <v>739</v>
      </c>
      <c r="B739" s="14" t="s">
        <v>66</v>
      </c>
      <c r="C739" s="14" t="s">
        <v>513</v>
      </c>
      <c r="D739" s="17">
        <v>3777.55</v>
      </c>
      <c r="E739" s="14">
        <v>0</v>
      </c>
      <c r="F739" s="14">
        <f>D739+E739</f>
        <v>3777.55</v>
      </c>
      <c r="G739" s="14">
        <f>H739-F739</f>
        <v>0.4499999999998181</v>
      </c>
      <c r="H739" s="17">
        <v>3778</v>
      </c>
      <c r="I739" s="14">
        <v>0</v>
      </c>
      <c r="J739" s="14">
        <f>SUM(H739:I739)</f>
        <v>3778</v>
      </c>
    </row>
    <row r="740" spans="1:10" ht="10.5" customHeight="1" x14ac:dyDescent="0.2">
      <c r="A740" s="5">
        <f t="shared" si="313"/>
        <v>740</v>
      </c>
      <c r="B740" s="14" t="s">
        <v>66</v>
      </c>
      <c r="C740" s="14" t="s">
        <v>66</v>
      </c>
      <c r="D740" s="17"/>
      <c r="E740" s="14"/>
      <c r="H740" s="17"/>
      <c r="J740" s="14"/>
    </row>
    <row r="741" spans="1:10" ht="10.5" customHeight="1" x14ac:dyDescent="0.2">
      <c r="A741" s="5">
        <f t="shared" si="313"/>
        <v>741</v>
      </c>
      <c r="B741" s="14" t="s">
        <v>66</v>
      </c>
      <c r="C741" s="14" t="s">
        <v>514</v>
      </c>
      <c r="D741" s="17">
        <f t="shared" ref="D741:I741" si="318">SUM(D711:D713,D723:D739)</f>
        <v>16155738.09</v>
      </c>
      <c r="E741" s="17">
        <f t="shared" si="318"/>
        <v>10434427</v>
      </c>
      <c r="F741" s="17">
        <f t="shared" si="318"/>
        <v>26590165.09</v>
      </c>
      <c r="G741" s="17">
        <f t="shared" si="318"/>
        <v>-12637609.300000003</v>
      </c>
      <c r="H741" s="17">
        <f t="shared" si="318"/>
        <v>13952555.789999995</v>
      </c>
      <c r="I741" s="17">
        <f t="shared" si="318"/>
        <v>169639.59999999998</v>
      </c>
      <c r="J741" s="14">
        <f>SUM(H741:I741)</f>
        <v>14122195.389999995</v>
      </c>
    </row>
    <row r="742" spans="1:10" ht="10.5" customHeight="1" x14ac:dyDescent="0.2">
      <c r="A742" s="5">
        <f t="shared" si="313"/>
        <v>742</v>
      </c>
      <c r="B742" s="76" t="s">
        <v>515</v>
      </c>
      <c r="C742" s="73"/>
      <c r="E742" s="14"/>
      <c r="J742" s="14"/>
    </row>
    <row r="743" spans="1:10" ht="10.5" customHeight="1" x14ac:dyDescent="0.2">
      <c r="A743" s="5">
        <f t="shared" si="313"/>
        <v>743</v>
      </c>
      <c r="B743" s="73" t="s">
        <v>32</v>
      </c>
      <c r="C743" s="73"/>
      <c r="E743" s="14"/>
      <c r="J743" s="14"/>
    </row>
    <row r="744" spans="1:10" ht="10.5" customHeight="1" x14ac:dyDescent="0.2">
      <c r="A744" s="5">
        <f t="shared" si="313"/>
        <v>744</v>
      </c>
      <c r="B744" s="73" t="s">
        <v>66</v>
      </c>
      <c r="C744" s="73" t="s">
        <v>507</v>
      </c>
      <c r="D744" s="17">
        <v>5062314</v>
      </c>
      <c r="E744" s="14">
        <v>191050</v>
      </c>
      <c r="F744" s="14">
        <f>D744+E744</f>
        <v>5253364</v>
      </c>
      <c r="G744" s="14">
        <v>10402322</v>
      </c>
      <c r="H744" s="14">
        <f>SUM(F744:G744)</f>
        <v>15655686</v>
      </c>
      <c r="I744" s="14">
        <v>0</v>
      </c>
      <c r="J744" s="14">
        <f>SUM(H744:I744)</f>
        <v>15655686</v>
      </c>
    </row>
    <row r="745" spans="1:10" ht="10.5" customHeight="1" x14ac:dyDescent="0.2">
      <c r="A745" s="5">
        <f t="shared" si="313"/>
        <v>745</v>
      </c>
      <c r="B745" s="73" t="s">
        <v>66</v>
      </c>
      <c r="C745" s="73" t="s">
        <v>508</v>
      </c>
      <c r="D745" s="17">
        <v>327353</v>
      </c>
      <c r="E745" s="14">
        <v>0</v>
      </c>
      <c r="F745" s="14">
        <f>D745+E745</f>
        <v>327353</v>
      </c>
      <c r="G745" s="14">
        <v>0</v>
      </c>
      <c r="H745" s="14">
        <f>SUM(F745:G745)</f>
        <v>327353</v>
      </c>
      <c r="I745" s="14">
        <v>0</v>
      </c>
      <c r="J745" s="14">
        <f>SUM(H745:I745)</f>
        <v>327353</v>
      </c>
    </row>
    <row r="746" spans="1:10" ht="10.5" customHeight="1" x14ac:dyDescent="0.2">
      <c r="A746" s="5">
        <f t="shared" si="313"/>
        <v>746</v>
      </c>
      <c r="B746" s="76"/>
      <c r="C746" s="73"/>
      <c r="E746" s="14"/>
      <c r="J746" s="14"/>
    </row>
    <row r="747" spans="1:10" ht="10.5" customHeight="1" x14ac:dyDescent="0.2">
      <c r="A747" s="5">
        <f t="shared" si="313"/>
        <v>747</v>
      </c>
      <c r="B747" s="76"/>
      <c r="C747" s="73" t="s">
        <v>516</v>
      </c>
      <c r="D747" s="14">
        <f>SUM(D744:D746)</f>
        <v>5389667</v>
      </c>
      <c r="E747" s="14">
        <f>SUM(E744:E746)</f>
        <v>191050</v>
      </c>
      <c r="F747" s="14">
        <f>D747+E747</f>
        <v>5580717</v>
      </c>
      <c r="G747" s="14">
        <f t="shared" ref="G747" si="319">SUM(G744:G746)</f>
        <v>10402322</v>
      </c>
      <c r="H747" s="17">
        <f>SUM(F747:F747,G747:G747)</f>
        <v>15983039</v>
      </c>
      <c r="I747" s="14">
        <v>0</v>
      </c>
      <c r="J747" s="14">
        <f>SUM(H747:I747)</f>
        <v>15983039</v>
      </c>
    </row>
    <row r="748" spans="1:10" ht="10.5" customHeight="1" x14ac:dyDescent="0.2">
      <c r="A748" s="5">
        <f t="shared" si="313"/>
        <v>748</v>
      </c>
      <c r="B748" s="30"/>
      <c r="C748" s="30"/>
      <c r="E748" s="14"/>
      <c r="J748" s="14"/>
    </row>
    <row r="749" spans="1:10" ht="10.5" customHeight="1" x14ac:dyDescent="0.2">
      <c r="A749" s="5">
        <f t="shared" si="313"/>
        <v>749</v>
      </c>
      <c r="B749" s="30" t="s">
        <v>22</v>
      </c>
      <c r="C749" s="30" t="s">
        <v>22</v>
      </c>
      <c r="E749" s="14"/>
      <c r="J749" s="14"/>
    </row>
    <row r="750" spans="1:10" ht="10.5" customHeight="1" x14ac:dyDescent="0.2">
      <c r="A750" s="5">
        <f t="shared" si="313"/>
        <v>750</v>
      </c>
      <c r="B750" s="13" t="s">
        <v>517</v>
      </c>
      <c r="E750" s="14"/>
      <c r="J750" s="14"/>
    </row>
    <row r="751" spans="1:10" ht="10.5" customHeight="1" x14ac:dyDescent="0.2">
      <c r="A751" s="5">
        <f t="shared" si="313"/>
        <v>751</v>
      </c>
      <c r="B751" s="14" t="s">
        <v>41</v>
      </c>
      <c r="E751" s="14"/>
      <c r="H751" s="17"/>
      <c r="J751" s="14"/>
    </row>
    <row r="752" spans="1:10" ht="10.5" customHeight="1" x14ac:dyDescent="0.2">
      <c r="A752" s="5">
        <f t="shared" si="313"/>
        <v>752</v>
      </c>
      <c r="B752" s="14" t="s">
        <v>518</v>
      </c>
      <c r="E752" s="14"/>
      <c r="H752" s="17"/>
      <c r="J752" s="14"/>
    </row>
    <row r="753" spans="1:10" ht="10.5" customHeight="1" x14ac:dyDescent="0.2">
      <c r="A753" s="5">
        <f t="shared" si="313"/>
        <v>753</v>
      </c>
      <c r="C753" s="14" t="s">
        <v>519</v>
      </c>
      <c r="D753" s="17">
        <v>-34575678.18</v>
      </c>
      <c r="E753" s="14">
        <v>0</v>
      </c>
      <c r="F753" s="14">
        <f>D753+E753</f>
        <v>-34575678.18</v>
      </c>
      <c r="G753" s="14">
        <f>H753-F753</f>
        <v>13530401.18</v>
      </c>
      <c r="H753" s="17">
        <f>-20823577+-221700</f>
        <v>-21045277</v>
      </c>
      <c r="I753" s="14">
        <v>0</v>
      </c>
      <c r="J753" s="14">
        <f>SUM(H753:I753)</f>
        <v>-21045277</v>
      </c>
    </row>
    <row r="754" spans="1:10" ht="10.5" customHeight="1" x14ac:dyDescent="0.2">
      <c r="A754" s="5">
        <f t="shared" si="313"/>
        <v>754</v>
      </c>
      <c r="C754" s="14" t="s">
        <v>520</v>
      </c>
      <c r="D754" s="17">
        <v>-39720888.510000005</v>
      </c>
      <c r="E754" s="14">
        <v>0</v>
      </c>
      <c r="F754" s="14">
        <f>D754+E754</f>
        <v>-39720888.510000005</v>
      </c>
      <c r="G754" s="14">
        <f t="shared" ref="G754:G757" si="320">H754-F754</f>
        <v>46349605.510000005</v>
      </c>
      <c r="H754" s="17">
        <f>2069135+4559582</f>
        <v>6628717</v>
      </c>
      <c r="I754" s="14">
        <v>0</v>
      </c>
      <c r="J754" s="14">
        <f>SUM(H754:I754)</f>
        <v>6628717</v>
      </c>
    </row>
    <row r="755" spans="1:10" ht="10.5" customHeight="1" x14ac:dyDescent="0.2">
      <c r="A755" s="5">
        <f t="shared" si="313"/>
        <v>755</v>
      </c>
      <c r="B755" s="17"/>
      <c r="C755" s="14" t="s">
        <v>521</v>
      </c>
      <c r="D755" s="14">
        <f>SUM(D753:D754)</f>
        <v>-74296566.689999998</v>
      </c>
      <c r="E755" s="14">
        <f>SUM(E753:E754)</f>
        <v>0</v>
      </c>
      <c r="F755" s="14">
        <f>D755+E755</f>
        <v>-74296566.689999998</v>
      </c>
      <c r="G755" s="14">
        <f t="shared" si="320"/>
        <v>59880006.689999998</v>
      </c>
      <c r="H755" s="14">
        <f>SUM(H753:H754)</f>
        <v>-14416560</v>
      </c>
      <c r="I755" s="14">
        <f t="shared" ref="I755" si="321">SUM(I753:I754)</f>
        <v>0</v>
      </c>
      <c r="J755" s="14">
        <f>SUM(H755:I755)</f>
        <v>-14416560</v>
      </c>
    </row>
    <row r="756" spans="1:10" ht="10.5" customHeight="1" x14ac:dyDescent="0.2">
      <c r="A756" s="5">
        <f t="shared" si="313"/>
        <v>756</v>
      </c>
      <c r="E756" s="14"/>
      <c r="H756" s="17"/>
      <c r="J756" s="14"/>
    </row>
    <row r="757" spans="1:10" ht="10.5" customHeight="1" x14ac:dyDescent="0.2">
      <c r="A757" s="5">
        <f t="shared" si="313"/>
        <v>757</v>
      </c>
      <c r="B757" s="14" t="s">
        <v>522</v>
      </c>
      <c r="D757" s="17">
        <v>94674793</v>
      </c>
      <c r="E757" s="14">
        <v>0</v>
      </c>
      <c r="F757" s="14">
        <f>D757+E757</f>
        <v>94674793</v>
      </c>
      <c r="G757" s="14">
        <f t="shared" si="320"/>
        <v>-43784522</v>
      </c>
      <c r="H757" s="17">
        <v>50890271</v>
      </c>
      <c r="I757" s="14">
        <v>0</v>
      </c>
      <c r="J757" s="14">
        <f>SUM(H757:I757)</f>
        <v>50890271</v>
      </c>
    </row>
    <row r="758" spans="1:10" ht="10.5" customHeight="1" x14ac:dyDescent="0.2">
      <c r="A758" s="5">
        <f t="shared" si="313"/>
        <v>758</v>
      </c>
      <c r="E758" s="14"/>
      <c r="H758" s="17"/>
      <c r="J758" s="14"/>
    </row>
    <row r="759" spans="1:10" ht="10.5" customHeight="1" x14ac:dyDescent="0.2">
      <c r="A759" s="5">
        <f t="shared" si="313"/>
        <v>759</v>
      </c>
      <c r="B759" s="14" t="s">
        <v>523</v>
      </c>
      <c r="E759" s="14"/>
      <c r="H759" s="17"/>
      <c r="J759" s="14"/>
    </row>
    <row r="760" spans="1:10" ht="10.5" customHeight="1" x14ac:dyDescent="0.2">
      <c r="A760" s="5">
        <f t="shared" si="313"/>
        <v>760</v>
      </c>
      <c r="E760" s="14"/>
      <c r="H760" s="17"/>
      <c r="J760" s="14"/>
    </row>
    <row r="761" spans="1:10" ht="10.5" customHeight="1" x14ac:dyDescent="0.2">
      <c r="A761" s="5">
        <f t="shared" si="313"/>
        <v>761</v>
      </c>
      <c r="B761" s="14" t="s">
        <v>524</v>
      </c>
      <c r="D761" s="14">
        <f>D806</f>
        <v>4689346.2249048352</v>
      </c>
      <c r="E761" s="14">
        <f t="shared" ref="E761:I761" si="322">E806</f>
        <v>-621879.71774289757</v>
      </c>
      <c r="F761" s="14">
        <f t="shared" si="322"/>
        <v>4067466.5071619377</v>
      </c>
      <c r="G761" s="14">
        <f>G806</f>
        <v>30125578.194023117</v>
      </c>
      <c r="H761" s="17">
        <f>SUM(F761:F761,G761:G761)</f>
        <v>34193044.701185055</v>
      </c>
      <c r="I761" s="14">
        <f t="shared" si="322"/>
        <v>-3107538.0584475505</v>
      </c>
      <c r="J761" s="14">
        <f>SUM(H761:I761)</f>
        <v>31085506.642737504</v>
      </c>
    </row>
    <row r="762" spans="1:10" ht="10.5" customHeight="1" x14ac:dyDescent="0.2">
      <c r="A762" s="5">
        <f t="shared" si="313"/>
        <v>762</v>
      </c>
      <c r="E762" s="14"/>
      <c r="H762" s="17"/>
      <c r="J762" s="14"/>
    </row>
    <row r="763" spans="1:10" ht="10.5" customHeight="1" x14ac:dyDescent="0.2">
      <c r="A763" s="5">
        <f t="shared" si="313"/>
        <v>763</v>
      </c>
      <c r="B763" s="14" t="s">
        <v>525</v>
      </c>
      <c r="E763" s="14"/>
      <c r="H763" s="17"/>
      <c r="J763" s="14"/>
    </row>
    <row r="764" spans="1:10" ht="10.5" customHeight="1" x14ac:dyDescent="0.2">
      <c r="A764" s="5">
        <f t="shared" si="313"/>
        <v>764</v>
      </c>
      <c r="B764" s="14" t="s">
        <v>66</v>
      </c>
      <c r="C764" s="14" t="s">
        <v>526</v>
      </c>
      <c r="D764" s="14">
        <f>D860</f>
        <v>4246138.8437387645</v>
      </c>
      <c r="E764" s="14">
        <f>E860</f>
        <v>-146662.38469192758</v>
      </c>
      <c r="F764" s="14">
        <f t="shared" ref="F764:J764" si="323">F860</f>
        <v>4099476.4590468369</v>
      </c>
      <c r="G764" s="14">
        <f t="shared" si="323"/>
        <v>-10227156.274127999</v>
      </c>
      <c r="H764" s="14">
        <f t="shared" si="323"/>
        <v>-6127679.8150811624</v>
      </c>
      <c r="I764" s="14">
        <f t="shared" si="323"/>
        <v>-732873.1411711059</v>
      </c>
      <c r="J764" s="14">
        <f t="shared" si="323"/>
        <v>-6860552.9562522657</v>
      </c>
    </row>
    <row r="765" spans="1:10" ht="10.5" customHeight="1" x14ac:dyDescent="0.2">
      <c r="A765" s="5">
        <f t="shared" si="313"/>
        <v>765</v>
      </c>
      <c r="B765" s="14" t="s">
        <v>66</v>
      </c>
      <c r="C765" s="14" t="s">
        <v>527</v>
      </c>
      <c r="D765" s="14">
        <f>D836</f>
        <v>1616619.4422049751</v>
      </c>
      <c r="E765" s="14">
        <f>E836</f>
        <v>-9361.4297761430498</v>
      </c>
      <c r="F765" s="14">
        <f t="shared" ref="F765:J765" si="324">F836</f>
        <v>1607258.012428832</v>
      </c>
      <c r="G765" s="14">
        <f t="shared" si="324"/>
        <v>-618055.02829208784</v>
      </c>
      <c r="H765" s="14">
        <f t="shared" si="324"/>
        <v>989202.9841367444</v>
      </c>
      <c r="I765" s="14">
        <f t="shared" si="324"/>
        <v>-46779.141497704921</v>
      </c>
      <c r="J765" s="14">
        <f t="shared" si="324"/>
        <v>942423.8426390395</v>
      </c>
    </row>
    <row r="766" spans="1:10" ht="10.5" customHeight="1" x14ac:dyDescent="0.2">
      <c r="A766" s="5">
        <f t="shared" si="313"/>
        <v>766</v>
      </c>
      <c r="B766" s="14" t="s">
        <v>66</v>
      </c>
      <c r="C766" s="14" t="s">
        <v>528</v>
      </c>
      <c r="D766" s="14">
        <f>D875</f>
        <v>186820.16365152309</v>
      </c>
      <c r="E766" s="14">
        <f>E875</f>
        <v>-3120.4762799999717</v>
      </c>
      <c r="F766" s="14">
        <f t="shared" ref="F766:J766" si="325">F875</f>
        <v>183699.68737152315</v>
      </c>
      <c r="G766" s="14">
        <f t="shared" si="325"/>
        <v>158019.25770062875</v>
      </c>
      <c r="H766" s="14">
        <f t="shared" si="325"/>
        <v>341718.9450721519</v>
      </c>
      <c r="I766" s="14">
        <f t="shared" si="325"/>
        <v>-15593.045606597079</v>
      </c>
      <c r="J766" s="14">
        <f t="shared" si="325"/>
        <v>326125.8994655548</v>
      </c>
    </row>
    <row r="767" spans="1:10" ht="10.5" customHeight="1" x14ac:dyDescent="0.2">
      <c r="A767" s="5">
        <f t="shared" si="313"/>
        <v>767</v>
      </c>
      <c r="B767" s="14" t="s">
        <v>66</v>
      </c>
      <c r="C767" s="14" t="s">
        <v>529</v>
      </c>
      <c r="D767" s="14">
        <f>SUM(D764:D766)</f>
        <v>6049578.4495952623</v>
      </c>
      <c r="E767" s="14">
        <f>SUM(E764:E766)</f>
        <v>-159144.29074807061</v>
      </c>
      <c r="F767" s="14">
        <f t="shared" ref="F767:J767" si="326">SUM(F764:F766)</f>
        <v>5890434.1588471923</v>
      </c>
      <c r="G767" s="14">
        <f t="shared" si="326"/>
        <v>-10687192.044719458</v>
      </c>
      <c r="H767" s="14">
        <f t="shared" si="326"/>
        <v>-4796757.8858722663</v>
      </c>
      <c r="I767" s="14">
        <f t="shared" si="326"/>
        <v>-795245.3282754079</v>
      </c>
      <c r="J767" s="14">
        <f t="shared" si="326"/>
        <v>-5592003.2141476721</v>
      </c>
    </row>
    <row r="768" spans="1:10" ht="10.5" customHeight="1" x14ac:dyDescent="0.2">
      <c r="A768" s="5">
        <f t="shared" si="313"/>
        <v>768</v>
      </c>
      <c r="B768" s="13" t="s">
        <v>530</v>
      </c>
      <c r="E768" s="14"/>
      <c r="J768" s="14">
        <f t="shared" ref="J768:J774" si="327">SUM(H768:I768)</f>
        <v>0</v>
      </c>
    </row>
    <row r="769" spans="1:10" ht="10.5" customHeight="1" x14ac:dyDescent="0.2">
      <c r="A769" s="5">
        <f t="shared" si="313"/>
        <v>769</v>
      </c>
      <c r="B769" s="14" t="s">
        <v>21</v>
      </c>
      <c r="D769" s="14">
        <f>D74</f>
        <v>1822965432.7632599</v>
      </c>
      <c r="E769" s="14">
        <f>F769-D769</f>
        <v>-272795912.40999985</v>
      </c>
      <c r="F769" s="14">
        <f>F74</f>
        <v>1550169520.35326</v>
      </c>
      <c r="G769" s="14">
        <f>G74</f>
        <v>232688539.99299848</v>
      </c>
      <c r="H769" s="17">
        <f>F769+G769</f>
        <v>1782858060.3462586</v>
      </c>
      <c r="I769" s="14">
        <f>(I74)</f>
        <v>0</v>
      </c>
      <c r="J769" s="14">
        <f t="shared" si="327"/>
        <v>1782858060.3462586</v>
      </c>
    </row>
    <row r="770" spans="1:10" ht="10.5" customHeight="1" x14ac:dyDescent="0.2">
      <c r="A770" s="5">
        <f t="shared" si="313"/>
        <v>770</v>
      </c>
      <c r="B770" s="14" t="s">
        <v>66</v>
      </c>
      <c r="C770" s="14" t="s">
        <v>66</v>
      </c>
      <c r="E770" s="14"/>
      <c r="H770" s="17">
        <f t="shared" ref="H770:H772" si="328">F770+G770</f>
        <v>0</v>
      </c>
      <c r="J770" s="14">
        <f t="shared" si="327"/>
        <v>0</v>
      </c>
    </row>
    <row r="771" spans="1:10" ht="10.5" customHeight="1" x14ac:dyDescent="0.2">
      <c r="A771" s="5">
        <f t="shared" si="313"/>
        <v>771</v>
      </c>
      <c r="B771" s="14" t="s">
        <v>27</v>
      </c>
      <c r="E771" s="14"/>
      <c r="H771" s="17">
        <f t="shared" si="328"/>
        <v>0</v>
      </c>
      <c r="J771" s="14">
        <f t="shared" si="327"/>
        <v>0</v>
      </c>
    </row>
    <row r="772" spans="1:10" ht="10.5" customHeight="1" x14ac:dyDescent="0.2">
      <c r="A772" s="5">
        <f t="shared" si="313"/>
        <v>772</v>
      </c>
      <c r="B772" s="14" t="s">
        <v>66</v>
      </c>
      <c r="C772" s="14" t="s">
        <v>531</v>
      </c>
      <c r="D772" s="14">
        <f>D76</f>
        <v>1259284350.1099999</v>
      </c>
      <c r="E772" s="14">
        <f t="shared" ref="E772:E777" si="329">F772-D772</f>
        <v>-311709045.30999994</v>
      </c>
      <c r="F772" s="14">
        <f t="shared" ref="F772:G776" si="330">F76</f>
        <v>947575304.79999995</v>
      </c>
      <c r="G772" s="14">
        <f t="shared" si="330"/>
        <v>148727175.13481915</v>
      </c>
      <c r="H772" s="17">
        <f t="shared" si="328"/>
        <v>1096302479.9348192</v>
      </c>
      <c r="I772" s="14">
        <f>(I76)</f>
        <v>8123919</v>
      </c>
      <c r="J772" s="14">
        <f t="shared" si="327"/>
        <v>1104426398.9348192</v>
      </c>
    </row>
    <row r="773" spans="1:10" ht="10.5" customHeight="1" x14ac:dyDescent="0.2">
      <c r="A773" s="5">
        <f t="shared" si="313"/>
        <v>773</v>
      </c>
      <c r="B773" s="14" t="s">
        <v>66</v>
      </c>
      <c r="C773" s="14" t="s">
        <v>29</v>
      </c>
      <c r="D773" s="14">
        <f>D77</f>
        <v>214706953.66173705</v>
      </c>
      <c r="E773" s="14">
        <f t="shared" si="329"/>
        <v>-49614949.819999993</v>
      </c>
      <c r="F773" s="14">
        <f t="shared" si="330"/>
        <v>165092003.84173706</v>
      </c>
      <c r="G773" s="14">
        <f t="shared" si="330"/>
        <v>21182023.681665868</v>
      </c>
      <c r="H773" s="17">
        <f t="shared" ref="H773:H776" si="331">F773+G773</f>
        <v>186274027.52340293</v>
      </c>
      <c r="I773" s="14">
        <f>(I77)</f>
        <v>6970289.43659708</v>
      </c>
      <c r="J773" s="14">
        <f t="shared" si="327"/>
        <v>193244316.96000001</v>
      </c>
    </row>
    <row r="774" spans="1:10" ht="10.5" customHeight="1" x14ac:dyDescent="0.2">
      <c r="A774" s="5">
        <f t="shared" si="313"/>
        <v>774</v>
      </c>
      <c r="B774" s="14" t="s">
        <v>66</v>
      </c>
      <c r="C774" s="14" t="s">
        <v>30</v>
      </c>
      <c r="D774" s="14">
        <f>D78</f>
        <v>7616789.9400000004</v>
      </c>
      <c r="E774" s="14">
        <f t="shared" si="329"/>
        <v>0</v>
      </c>
      <c r="F774" s="14">
        <f t="shared" si="330"/>
        <v>7616789.9400000004</v>
      </c>
      <c r="G774" s="14">
        <f t="shared" si="330"/>
        <v>2086567.3699999978</v>
      </c>
      <c r="H774" s="17">
        <f>F774+G774</f>
        <v>9703357.3099999987</v>
      </c>
      <c r="I774" s="14">
        <f>(I78)</f>
        <v>329197.57000000053</v>
      </c>
      <c r="J774" s="14">
        <f t="shared" si="327"/>
        <v>10032554.879999999</v>
      </c>
    </row>
    <row r="775" spans="1:10" ht="10.5" customHeight="1" x14ac:dyDescent="0.2">
      <c r="A775" s="5">
        <f t="shared" si="313"/>
        <v>775</v>
      </c>
      <c r="B775" s="14" t="s">
        <v>66</v>
      </c>
      <c r="C775" s="14" t="s">
        <v>31</v>
      </c>
      <c r="D775" s="14">
        <f>D79</f>
        <v>16155738.09</v>
      </c>
      <c r="E775" s="14">
        <f t="shared" si="329"/>
        <v>10434427</v>
      </c>
      <c r="F775" s="14">
        <f t="shared" si="330"/>
        <v>26590165.09</v>
      </c>
      <c r="G775" s="14">
        <f t="shared" si="330"/>
        <v>-12637609.300000003</v>
      </c>
      <c r="H775" s="17">
        <f t="shared" si="331"/>
        <v>13952555.789999997</v>
      </c>
      <c r="I775" s="14">
        <f>(I79)</f>
        <v>169639.59999999998</v>
      </c>
      <c r="J775" s="14">
        <f t="shared" ref="J775:J781" si="332">SUM(H775:I775)</f>
        <v>14122195.389999997</v>
      </c>
    </row>
    <row r="776" spans="1:10" ht="10.5" customHeight="1" x14ac:dyDescent="0.2">
      <c r="A776" s="5">
        <f t="shared" si="313"/>
        <v>776</v>
      </c>
      <c r="C776" s="14" t="s">
        <v>32</v>
      </c>
      <c r="D776" s="14">
        <f>D80</f>
        <v>5389667</v>
      </c>
      <c r="E776" s="14">
        <f t="shared" si="329"/>
        <v>191050</v>
      </c>
      <c r="F776" s="14">
        <f t="shared" si="330"/>
        <v>5580717</v>
      </c>
      <c r="G776" s="14">
        <f t="shared" si="330"/>
        <v>10402322</v>
      </c>
      <c r="H776" s="17">
        <f t="shared" si="331"/>
        <v>15983039</v>
      </c>
      <c r="I776" s="14">
        <f>I747</f>
        <v>0</v>
      </c>
      <c r="J776" s="14">
        <f t="shared" si="332"/>
        <v>15983039</v>
      </c>
    </row>
    <row r="777" spans="1:10" ht="10.5" customHeight="1" x14ac:dyDescent="0.2">
      <c r="A777" s="5">
        <f t="shared" si="313"/>
        <v>777</v>
      </c>
      <c r="B777" s="14" t="s">
        <v>66</v>
      </c>
      <c r="C777" s="14" t="s">
        <v>37</v>
      </c>
      <c r="D777" s="14">
        <f>SUM(D772:D776)</f>
        <v>1503153498.8017368</v>
      </c>
      <c r="E777" s="14">
        <f t="shared" si="329"/>
        <v>-350698518.12999988</v>
      </c>
      <c r="F777" s="14">
        <f>SUM(F772:F776)</f>
        <v>1152454980.671737</v>
      </c>
      <c r="G777" s="14">
        <f>SUM(G772:G776)</f>
        <v>169760478.88648501</v>
      </c>
      <c r="H777" s="14">
        <f>SUM(H772:H776)</f>
        <v>1322215459.5582221</v>
      </c>
      <c r="I777" s="14">
        <f>SUM(I772:I776)</f>
        <v>15593045.606597079</v>
      </c>
      <c r="J777" s="14">
        <f>SUM(H777:I777)</f>
        <v>1337808505.1648192</v>
      </c>
    </row>
    <row r="778" spans="1:10" ht="10.5" customHeight="1" x14ac:dyDescent="0.2">
      <c r="A778" s="5">
        <f t="shared" si="313"/>
        <v>778</v>
      </c>
      <c r="B778" s="14" t="s">
        <v>66</v>
      </c>
      <c r="C778" s="14" t="s">
        <v>66</v>
      </c>
      <c r="E778" s="14"/>
      <c r="J778" s="14">
        <f t="shared" si="332"/>
        <v>0</v>
      </c>
    </row>
    <row r="779" spans="1:10" ht="10.5" customHeight="1" x14ac:dyDescent="0.2">
      <c r="A779" s="5">
        <f t="shared" si="313"/>
        <v>779</v>
      </c>
      <c r="C779" s="14" t="s">
        <v>532</v>
      </c>
      <c r="D779" s="14">
        <v>0</v>
      </c>
      <c r="E779" s="14">
        <f>F779-D779</f>
        <v>0</v>
      </c>
      <c r="F779" s="14">
        <v>0</v>
      </c>
      <c r="G779" s="14">
        <v>0</v>
      </c>
      <c r="H779" s="17">
        <f t="shared" ref="H779" si="333">F779+G779</f>
        <v>0</v>
      </c>
      <c r="I779" s="14">
        <f>IF($D$777&lt;&gt;0,($D779)*(I$777/$D$777),0)</f>
        <v>0</v>
      </c>
      <c r="J779" s="14">
        <f t="shared" si="332"/>
        <v>0</v>
      </c>
    </row>
    <row r="780" spans="1:10" ht="10.5" customHeight="1" x14ac:dyDescent="0.2">
      <c r="A780" s="5">
        <f t="shared" ref="A780:A843" si="334">A779+1</f>
        <v>780</v>
      </c>
      <c r="E780" s="14"/>
      <c r="J780" s="14">
        <f t="shared" si="332"/>
        <v>0</v>
      </c>
    </row>
    <row r="781" spans="1:10" ht="10.5" customHeight="1" x14ac:dyDescent="0.2">
      <c r="A781" s="5">
        <f t="shared" si="334"/>
        <v>781</v>
      </c>
      <c r="B781" s="14" t="s">
        <v>533</v>
      </c>
      <c r="D781" s="14">
        <f>D769-D777-D779</f>
        <v>319811933.96152306</v>
      </c>
      <c r="E781" s="14">
        <f>F781-D781</f>
        <v>77902605.720000029</v>
      </c>
      <c r="F781" s="14">
        <f>F769-F777-F779</f>
        <v>397714539.68152308</v>
      </c>
      <c r="G781" s="14">
        <f>G769-G777-G779</f>
        <v>62928061.10651347</v>
      </c>
      <c r="H781" s="14">
        <f>H769-H777-H779</f>
        <v>460642600.78803658</v>
      </c>
      <c r="I781" s="14">
        <f>(I769-I777-I779)</f>
        <v>-15593045.606597079</v>
      </c>
      <c r="J781" s="14">
        <f t="shared" si="332"/>
        <v>445049555.18143952</v>
      </c>
    </row>
    <row r="782" spans="1:10" ht="10.5" customHeight="1" x14ac:dyDescent="0.2">
      <c r="A782" s="5">
        <f t="shared" si="334"/>
        <v>782</v>
      </c>
      <c r="B782" s="14" t="s">
        <v>66</v>
      </c>
      <c r="C782" s="14" t="s">
        <v>66</v>
      </c>
      <c r="E782" s="14"/>
      <c r="J782" s="14"/>
    </row>
    <row r="783" spans="1:10" ht="10.5" customHeight="1" x14ac:dyDescent="0.2">
      <c r="A783" s="5">
        <f t="shared" si="334"/>
        <v>783</v>
      </c>
      <c r="B783" s="14" t="s">
        <v>534</v>
      </c>
      <c r="E783" s="14"/>
      <c r="J783" s="14"/>
    </row>
    <row r="784" spans="1:10" ht="10.5" customHeight="1" x14ac:dyDescent="0.2">
      <c r="A784" s="5">
        <f t="shared" si="334"/>
        <v>784</v>
      </c>
      <c r="B784" s="14" t="s">
        <v>66</v>
      </c>
      <c r="C784" s="14" t="s">
        <v>535</v>
      </c>
      <c r="D784" s="70">
        <v>163301265.80999997</v>
      </c>
      <c r="E784" s="14">
        <v>0</v>
      </c>
      <c r="F784" s="14">
        <f>D784+E784</f>
        <v>163301265.80999997</v>
      </c>
      <c r="G784" s="14">
        <f>H784-F784</f>
        <v>3782075.9058847427</v>
      </c>
      <c r="H784" s="14">
        <v>167083341.71588472</v>
      </c>
      <c r="I784" s="14">
        <v>0</v>
      </c>
      <c r="J784" s="14">
        <f>SUM(H784:I784)</f>
        <v>167083341.71588472</v>
      </c>
    </row>
    <row r="785" spans="1:10" ht="10.5" customHeight="1" x14ac:dyDescent="0.2">
      <c r="A785" s="5">
        <f t="shared" si="334"/>
        <v>785</v>
      </c>
      <c r="B785" s="14" t="s">
        <v>66</v>
      </c>
      <c r="C785" s="14" t="s">
        <v>66</v>
      </c>
      <c r="E785" s="14"/>
      <c r="J785" s="14"/>
    </row>
    <row r="786" spans="1:10" ht="10.5" customHeight="1" x14ac:dyDescent="0.2">
      <c r="A786" s="5">
        <f t="shared" si="334"/>
        <v>786</v>
      </c>
      <c r="B786" s="14" t="s">
        <v>536</v>
      </c>
      <c r="D786" s="14">
        <f>D781-D784</f>
        <v>156510668.15152308</v>
      </c>
      <c r="E786" s="14">
        <f>F786-D786</f>
        <v>77902605.720000029</v>
      </c>
      <c r="F786" s="14">
        <f>F781-F784</f>
        <v>234413273.87152311</v>
      </c>
      <c r="G786" s="14">
        <f t="shared" ref="G786" si="335">G781-G784</f>
        <v>59145985.200628728</v>
      </c>
      <c r="H786" s="14">
        <f>H781-H784</f>
        <v>293559259.0721519</v>
      </c>
      <c r="I786" s="14">
        <f>(I781-I784)</f>
        <v>-15593045.606597079</v>
      </c>
      <c r="J786" s="14">
        <f>SUM(H786:I786)</f>
        <v>277966213.46555483</v>
      </c>
    </row>
    <row r="787" spans="1:10" ht="10.5" customHeight="1" x14ac:dyDescent="0.2">
      <c r="A787" s="5">
        <f t="shared" si="334"/>
        <v>787</v>
      </c>
      <c r="B787" s="14" t="s">
        <v>41</v>
      </c>
      <c r="E787" s="14"/>
      <c r="J787" s="14"/>
    </row>
    <row r="788" spans="1:10" ht="10.5" customHeight="1" x14ac:dyDescent="0.2">
      <c r="A788" s="5">
        <f t="shared" si="334"/>
        <v>788</v>
      </c>
      <c r="B788" s="14" t="s">
        <v>537</v>
      </c>
      <c r="D788" s="14">
        <f>D832+D857+D872</f>
        <v>7627565.1995952623</v>
      </c>
      <c r="E788" s="14">
        <f>F788-D788</f>
        <v>-159144.29074806999</v>
      </c>
      <c r="F788" s="14">
        <f>F832+F857+F872</f>
        <v>7468420.9088471923</v>
      </c>
      <c r="G788" s="14">
        <f>H788-F788</f>
        <v>-12265178.794719458</v>
      </c>
      <c r="H788" s="14">
        <f>H832+H857+H872</f>
        <v>-4796757.8858722663</v>
      </c>
      <c r="I788" s="14">
        <f>I832+I857+I872</f>
        <v>-795245.3282754079</v>
      </c>
      <c r="J788" s="14">
        <f>SUM(H788:I788)</f>
        <v>-5592003.2141476739</v>
      </c>
    </row>
    <row r="789" spans="1:10" ht="10.5" customHeight="1" x14ac:dyDescent="0.2">
      <c r="A789" s="5">
        <f t="shared" si="334"/>
        <v>789</v>
      </c>
      <c r="B789" s="58" t="s">
        <v>66</v>
      </c>
      <c r="E789" s="14"/>
      <c r="J789" s="14"/>
    </row>
    <row r="790" spans="1:10" ht="10.5" customHeight="1" x14ac:dyDescent="0.2">
      <c r="A790" s="5">
        <f t="shared" si="334"/>
        <v>790</v>
      </c>
      <c r="B790" s="58" t="s">
        <v>538</v>
      </c>
      <c r="D790" s="14">
        <f>D786-D788</f>
        <v>148883102.95192781</v>
      </c>
      <c r="E790" s="14">
        <f>F790-D790</f>
        <v>78061750.010748118</v>
      </c>
      <c r="F790" s="14">
        <f t="shared" ref="F790:G790" si="336">F786-F788</f>
        <v>226944852.96267593</v>
      </c>
      <c r="G790" s="14">
        <f t="shared" si="336"/>
        <v>71411163.995348185</v>
      </c>
      <c r="H790" s="14">
        <f>H786-H788</f>
        <v>298356016.95802414</v>
      </c>
      <c r="I790" s="14">
        <f>I786-I788</f>
        <v>-14797800.27832167</v>
      </c>
      <c r="J790" s="14">
        <f>J786-J788</f>
        <v>283558216.67970252</v>
      </c>
    </row>
    <row r="791" spans="1:10" ht="10.5" customHeight="1" x14ac:dyDescent="0.2">
      <c r="A791" s="5">
        <f t="shared" si="334"/>
        <v>791</v>
      </c>
      <c r="E791" s="14"/>
      <c r="J791" s="14"/>
    </row>
    <row r="792" spans="1:10" ht="10.5" customHeight="1" x14ac:dyDescent="0.2">
      <c r="A792" s="5">
        <f t="shared" si="334"/>
        <v>792</v>
      </c>
      <c r="B792" s="58" t="s">
        <v>539</v>
      </c>
      <c r="D792" s="14">
        <f>D790*21%</f>
        <v>31265451.619904839</v>
      </c>
      <c r="E792" s="14">
        <f>F792-D792</f>
        <v>16392967.502257101</v>
      </c>
      <c r="F792" s="14">
        <f>F790*0.21</f>
        <v>47658419.12216194</v>
      </c>
      <c r="G792" s="14">
        <f>G790*0.21</f>
        <v>14996344.439023118</v>
      </c>
      <c r="H792" s="14">
        <f>H790*0.21</f>
        <v>62654763.561185069</v>
      </c>
      <c r="I792" s="14">
        <f>I790*0.21</f>
        <v>-3107538.0584475505</v>
      </c>
      <c r="J792" s="14">
        <f>J790*0.21</f>
        <v>59547225.50273753</v>
      </c>
    </row>
    <row r="793" spans="1:10" ht="10.5" customHeight="1" x14ac:dyDescent="0.2">
      <c r="A793" s="5">
        <f t="shared" si="334"/>
        <v>793</v>
      </c>
      <c r="B793" s="58"/>
      <c r="C793" s="17" t="s">
        <v>540</v>
      </c>
      <c r="D793" s="17">
        <v>-80366183</v>
      </c>
      <c r="E793" s="14">
        <v>0</v>
      </c>
      <c r="F793" s="14">
        <f>D793+E793</f>
        <v>-80366183</v>
      </c>
      <c r="G793" s="14">
        <f>H793-F793</f>
        <v>80366183</v>
      </c>
      <c r="H793" s="17">
        <v>0</v>
      </c>
      <c r="I793" s="14">
        <v>0</v>
      </c>
      <c r="J793" s="14">
        <f>SUM(H793:I793)</f>
        <v>0</v>
      </c>
    </row>
    <row r="794" spans="1:10" ht="10.5" customHeight="1" x14ac:dyDescent="0.2">
      <c r="A794" s="5">
        <f t="shared" si="334"/>
        <v>794</v>
      </c>
      <c r="B794" s="58" t="s">
        <v>541</v>
      </c>
      <c r="C794" s="17" t="s">
        <v>542</v>
      </c>
      <c r="D794" s="17">
        <v>-7314896.9900000002</v>
      </c>
      <c r="E794" s="14">
        <v>0</v>
      </c>
      <c r="F794" s="14">
        <f>D794+E794</f>
        <v>-7314896.9900000002</v>
      </c>
      <c r="G794" s="14">
        <f>H794-F794</f>
        <v>7314896.9900000002</v>
      </c>
      <c r="H794" s="17">
        <v>0</v>
      </c>
      <c r="I794" s="14">
        <v>0</v>
      </c>
      <c r="J794" s="14">
        <f>SUM(H794:I794)</f>
        <v>0</v>
      </c>
    </row>
    <row r="795" spans="1:10" ht="10.5" customHeight="1" x14ac:dyDescent="0.2">
      <c r="A795" s="5">
        <f t="shared" si="334"/>
        <v>795</v>
      </c>
      <c r="E795" s="14"/>
      <c r="J795" s="14"/>
    </row>
    <row r="796" spans="1:10" ht="10.5" customHeight="1" x14ac:dyDescent="0.2">
      <c r="A796" s="5">
        <f t="shared" si="334"/>
        <v>796</v>
      </c>
      <c r="B796" s="58" t="s">
        <v>543</v>
      </c>
      <c r="D796" s="14">
        <f>SUM(D792:D794)</f>
        <v>-56415628.370095164</v>
      </c>
      <c r="E796" s="14">
        <f t="shared" ref="E796:H796" si="337">SUM(E792:E794)</f>
        <v>16392967.502257101</v>
      </c>
      <c r="F796" s="14">
        <f>SUM(F792:F794)</f>
        <v>-40022660.867838062</v>
      </c>
      <c r="G796" s="14">
        <f t="shared" si="337"/>
        <v>102677424.42902312</v>
      </c>
      <c r="H796" s="14">
        <f t="shared" si="337"/>
        <v>62654763.561185069</v>
      </c>
      <c r="I796" s="14">
        <f>SUM(I792:I794)</f>
        <v>-3107538.0584475505</v>
      </c>
      <c r="J796" s="14">
        <f>SUM(J792:J794)</f>
        <v>59547225.50273753</v>
      </c>
    </row>
    <row r="797" spans="1:10" ht="10.5" customHeight="1" x14ac:dyDescent="0.2">
      <c r="A797" s="5">
        <f t="shared" si="334"/>
        <v>797</v>
      </c>
      <c r="E797" s="14"/>
      <c r="J797" s="14"/>
    </row>
    <row r="798" spans="1:10" ht="10.5" customHeight="1" x14ac:dyDescent="0.2">
      <c r="A798" s="5">
        <f t="shared" si="334"/>
        <v>798</v>
      </c>
      <c r="B798" s="58" t="s">
        <v>544</v>
      </c>
      <c r="C798" s="58"/>
      <c r="E798" s="14"/>
      <c r="J798" s="14"/>
    </row>
    <row r="799" spans="1:10" ht="10.5" customHeight="1" x14ac:dyDescent="0.2">
      <c r="A799" s="5">
        <f t="shared" si="334"/>
        <v>799</v>
      </c>
      <c r="B799" s="58" t="s">
        <v>545</v>
      </c>
      <c r="C799" s="58"/>
      <c r="D799" s="17">
        <v>81023082</v>
      </c>
      <c r="E799" s="14">
        <f>-D799</f>
        <v>-81023082</v>
      </c>
      <c r="F799" s="14">
        <f>D799+E799</f>
        <v>0</v>
      </c>
      <c r="G799" s="14">
        <f>H799-F799</f>
        <v>0</v>
      </c>
      <c r="H799" s="14">
        <v>0</v>
      </c>
      <c r="I799" s="14">
        <v>0</v>
      </c>
      <c r="J799" s="14">
        <f>SUM(H799:I799)</f>
        <v>0</v>
      </c>
    </row>
    <row r="800" spans="1:10" ht="10.5" customHeight="1" x14ac:dyDescent="0.2">
      <c r="A800" s="5">
        <f t="shared" si="334"/>
        <v>800</v>
      </c>
      <c r="B800" s="65" t="s">
        <v>546</v>
      </c>
      <c r="C800" s="65"/>
      <c r="D800" s="17">
        <v>82338172.5</v>
      </c>
      <c r="E800" s="14">
        <v>0</v>
      </c>
      <c r="F800" s="14">
        <f>D800+E800</f>
        <v>82338172.5</v>
      </c>
      <c r="G800" s="14">
        <f>H800-F800</f>
        <v>-30049949.5</v>
      </c>
      <c r="H800" s="14">
        <v>52288223</v>
      </c>
      <c r="I800" s="14">
        <v>0</v>
      </c>
      <c r="J800" s="14">
        <f>SUM(H800:I800)</f>
        <v>52288223</v>
      </c>
    </row>
    <row r="801" spans="1:10" ht="10.5" customHeight="1" x14ac:dyDescent="0.2">
      <c r="A801" s="5">
        <f t="shared" si="334"/>
        <v>801</v>
      </c>
      <c r="B801" s="65" t="s">
        <v>547</v>
      </c>
      <c r="C801" s="65"/>
      <c r="D801" s="17">
        <v>127614815</v>
      </c>
      <c r="E801" s="14">
        <v>0</v>
      </c>
      <c r="F801" s="14">
        <f>D801+E801</f>
        <v>127614815</v>
      </c>
      <c r="G801" s="14">
        <f>H801-F801</f>
        <v>-146863604</v>
      </c>
      <c r="H801" s="14">
        <v>-19248789</v>
      </c>
      <c r="I801" s="14">
        <v>0</v>
      </c>
      <c r="J801" s="14">
        <f>SUM(H801:I801)</f>
        <v>-19248789</v>
      </c>
    </row>
    <row r="802" spans="1:10" ht="10.5" customHeight="1" x14ac:dyDescent="0.2">
      <c r="A802" s="5">
        <f t="shared" si="334"/>
        <v>802</v>
      </c>
      <c r="B802" s="65"/>
      <c r="C802" s="65" t="s">
        <v>548</v>
      </c>
      <c r="D802" s="58">
        <f>SUM(D799:D801)</f>
        <v>290976069.5</v>
      </c>
      <c r="E802" s="14">
        <f>F802-D802</f>
        <v>-81023082</v>
      </c>
      <c r="F802" s="58">
        <f>SUM(F799:F801)</f>
        <v>209952987.5</v>
      </c>
      <c r="G802" s="58">
        <f>SUM(G799:G801)</f>
        <v>-176913553.5</v>
      </c>
      <c r="H802" s="58">
        <f>SUM(H799:H801)</f>
        <v>33039434</v>
      </c>
      <c r="I802" s="58">
        <f>SUM(I799:I801)</f>
        <v>0</v>
      </c>
      <c r="J802" s="14">
        <f>SUM(J799:J801)</f>
        <v>33039434</v>
      </c>
    </row>
    <row r="803" spans="1:10" ht="10.5" customHeight="1" x14ac:dyDescent="0.2">
      <c r="A803" s="5">
        <f t="shared" si="334"/>
        <v>803</v>
      </c>
      <c r="B803" s="58"/>
      <c r="C803" s="58" t="s">
        <v>549</v>
      </c>
      <c r="D803" s="70">
        <f>D802*(0.21)</f>
        <v>61104974.594999999</v>
      </c>
      <c r="E803" s="14">
        <f>F803-D803</f>
        <v>-17014847.219999999</v>
      </c>
      <c r="F803" s="70">
        <f>F802*(0.21)</f>
        <v>44090127.375</v>
      </c>
      <c r="G803" s="70">
        <f>G802*(0.21)</f>
        <v>-37151846.234999999</v>
      </c>
      <c r="H803" s="70">
        <f>H802*(0.21)</f>
        <v>6938281.1399999997</v>
      </c>
      <c r="I803" s="70">
        <f>I802*(0.21)</f>
        <v>0</v>
      </c>
      <c r="J803" s="70">
        <f>J802*(0.21)</f>
        <v>6938281.1399999997</v>
      </c>
    </row>
    <row r="804" spans="1:10" ht="10.5" customHeight="1" x14ac:dyDescent="0.2">
      <c r="A804" s="5">
        <f t="shared" si="334"/>
        <v>804</v>
      </c>
      <c r="C804" s="14" t="s">
        <v>550</v>
      </c>
      <c r="D804" s="70">
        <v>0</v>
      </c>
      <c r="E804" s="14">
        <f>F804-D804</f>
        <v>0</v>
      </c>
      <c r="F804" s="14">
        <v>0</v>
      </c>
      <c r="G804" s="14">
        <f>H804-F804</f>
        <v>35400000</v>
      </c>
      <c r="H804" s="14">
        <v>35400000</v>
      </c>
      <c r="I804" s="14">
        <v>0</v>
      </c>
      <c r="J804" s="14">
        <f>SUM(H804:I804)</f>
        <v>35400000</v>
      </c>
    </row>
    <row r="805" spans="1:10" ht="10.5" customHeight="1" x14ac:dyDescent="0.2">
      <c r="A805" s="5">
        <f t="shared" si="334"/>
        <v>805</v>
      </c>
      <c r="D805" s="70"/>
      <c r="E805" s="14"/>
      <c r="H805" s="17"/>
      <c r="J805" s="14"/>
    </row>
    <row r="806" spans="1:10" ht="10.5" customHeight="1" x14ac:dyDescent="0.2">
      <c r="A806" s="5">
        <f t="shared" si="334"/>
        <v>806</v>
      </c>
      <c r="B806" s="58" t="s">
        <v>524</v>
      </c>
      <c r="D806" s="14">
        <f>D796+D803-D804</f>
        <v>4689346.2249048352</v>
      </c>
      <c r="E806" s="14">
        <f>F806-D806</f>
        <v>-621879.71774289757</v>
      </c>
      <c r="F806" s="14">
        <f>F796+F803-F804</f>
        <v>4067466.5071619377</v>
      </c>
      <c r="G806" s="14">
        <f>G796+G803-G804</f>
        <v>30125578.194023117</v>
      </c>
      <c r="H806" s="14">
        <f>H796+H803-H804</f>
        <v>34193044.701185063</v>
      </c>
      <c r="I806" s="14">
        <f>I796+I803-I804</f>
        <v>-3107538.0584475505</v>
      </c>
      <c r="J806" s="14">
        <f>J796+J803-J804</f>
        <v>31085506.64273753</v>
      </c>
    </row>
    <row r="807" spans="1:10" ht="10.5" customHeight="1" x14ac:dyDescent="0.2">
      <c r="A807" s="5">
        <f t="shared" si="334"/>
        <v>807</v>
      </c>
      <c r="B807" s="13" t="s">
        <v>551</v>
      </c>
      <c r="E807" s="14"/>
      <c r="J807" s="14"/>
    </row>
    <row r="808" spans="1:10" ht="10.5" customHeight="1" x14ac:dyDescent="0.2">
      <c r="A808" s="5">
        <f t="shared" si="334"/>
        <v>808</v>
      </c>
      <c r="B808" s="14" t="s">
        <v>22</v>
      </c>
      <c r="E808" s="14"/>
      <c r="J808" s="14"/>
    </row>
    <row r="809" spans="1:10" ht="10.5" customHeight="1" x14ac:dyDescent="0.2">
      <c r="A809" s="5">
        <f t="shared" si="334"/>
        <v>809</v>
      </c>
      <c r="B809" s="14" t="s">
        <v>552</v>
      </c>
      <c r="D809" s="14">
        <f>D$786</f>
        <v>156510668.15152308</v>
      </c>
      <c r="E809" s="14">
        <f>E$786</f>
        <v>77902605.720000029</v>
      </c>
      <c r="F809" s="14">
        <f t="shared" ref="F809:I809" si="338">F$786</f>
        <v>234413273.87152311</v>
      </c>
      <c r="G809" s="14">
        <f t="shared" si="338"/>
        <v>59145985.200628728</v>
      </c>
      <c r="H809" s="14">
        <f t="shared" si="338"/>
        <v>293559259.0721519</v>
      </c>
      <c r="I809" s="14">
        <f t="shared" si="338"/>
        <v>-15593045.606597079</v>
      </c>
      <c r="J809" s="14">
        <f>SUM(H809:I809)</f>
        <v>277966213.46555483</v>
      </c>
    </row>
    <row r="810" spans="1:10" ht="10.5" customHeight="1" x14ac:dyDescent="0.2">
      <c r="A810" s="5">
        <f t="shared" si="334"/>
        <v>810</v>
      </c>
      <c r="B810" s="14" t="s">
        <v>22</v>
      </c>
      <c r="E810" s="14"/>
      <c r="J810" s="14"/>
    </row>
    <row r="811" spans="1:10" ht="10.5" customHeight="1" x14ac:dyDescent="0.2">
      <c r="A811" s="5">
        <f t="shared" si="334"/>
        <v>811</v>
      </c>
      <c r="B811" s="14" t="s">
        <v>553</v>
      </c>
      <c r="D811" s="14">
        <f>D$799</f>
        <v>81023082</v>
      </c>
      <c r="E811" s="14">
        <f>F811-D811</f>
        <v>-81023082</v>
      </c>
      <c r="F811" s="14">
        <f>0</f>
        <v>0</v>
      </c>
      <c r="G811" s="14">
        <f>G$799</f>
        <v>0</v>
      </c>
      <c r="H811" s="17">
        <f>SUM(F811:G811)</f>
        <v>0</v>
      </c>
      <c r="I811" s="14">
        <v>0</v>
      </c>
      <c r="J811" s="14">
        <f>SUM(H811:I811)</f>
        <v>0</v>
      </c>
    </row>
    <row r="812" spans="1:10" ht="10.5" customHeight="1" x14ac:dyDescent="0.2">
      <c r="A812" s="5">
        <f t="shared" si="334"/>
        <v>812</v>
      </c>
      <c r="B812" s="14" t="s">
        <v>554</v>
      </c>
      <c r="D812" s="70">
        <f>D800</f>
        <v>82338172.5</v>
      </c>
      <c r="E812" s="14">
        <v>0</v>
      </c>
      <c r="F812" s="14">
        <f>D812+E812</f>
        <v>82338172.5</v>
      </c>
      <c r="G812" s="14">
        <f>H812-F812</f>
        <v>-30049949.5</v>
      </c>
      <c r="H812" s="17">
        <f>H800</f>
        <v>52288223</v>
      </c>
      <c r="I812" s="14">
        <v>0</v>
      </c>
      <c r="J812" s="14">
        <f>SUM(H812:I812)</f>
        <v>52288223</v>
      </c>
    </row>
    <row r="813" spans="1:10" ht="10.5" customHeight="1" x14ac:dyDescent="0.2">
      <c r="A813" s="5">
        <f t="shared" si="334"/>
        <v>813</v>
      </c>
      <c r="B813" s="14" t="s">
        <v>555</v>
      </c>
      <c r="D813" s="70">
        <f>D801</f>
        <v>127614815</v>
      </c>
      <c r="E813" s="14">
        <v>0</v>
      </c>
      <c r="F813" s="14">
        <f>D813+E813</f>
        <v>127614815</v>
      </c>
      <c r="G813" s="14">
        <f t="shared" ref="G813:G814" si="339">H813-F813</f>
        <v>-146863604</v>
      </c>
      <c r="H813" s="17">
        <f>H801</f>
        <v>-19248789</v>
      </c>
      <c r="I813" s="14">
        <v>0</v>
      </c>
      <c r="J813" s="14">
        <f>SUM(H813:I813)</f>
        <v>-19248789</v>
      </c>
    </row>
    <row r="814" spans="1:10" ht="10.5" customHeight="1" x14ac:dyDescent="0.2">
      <c r="A814" s="5">
        <f t="shared" si="334"/>
        <v>814</v>
      </c>
      <c r="B814" s="14" t="s">
        <v>22</v>
      </c>
      <c r="C814" s="17" t="s">
        <v>556</v>
      </c>
      <c r="D814" s="58">
        <v>0</v>
      </c>
      <c r="E814" s="14">
        <v>0</v>
      </c>
      <c r="F814" s="14">
        <f>D814+E814</f>
        <v>0</v>
      </c>
      <c r="G814" s="14">
        <f t="shared" si="339"/>
        <v>0</v>
      </c>
      <c r="H814" s="17">
        <v>0</v>
      </c>
      <c r="I814" s="14">
        <v>0</v>
      </c>
      <c r="J814" s="14">
        <f>SUM(H814:I814)</f>
        <v>0</v>
      </c>
    </row>
    <row r="815" spans="1:10" ht="10.5" customHeight="1" x14ac:dyDescent="0.2">
      <c r="A815" s="5">
        <f t="shared" si="334"/>
        <v>815</v>
      </c>
      <c r="B815" s="14" t="s">
        <v>66</v>
      </c>
      <c r="C815" s="14" t="s">
        <v>66</v>
      </c>
      <c r="E815" s="14"/>
      <c r="J815" s="14"/>
    </row>
    <row r="816" spans="1:10" ht="10.5" customHeight="1" x14ac:dyDescent="0.2">
      <c r="A816" s="5">
        <f t="shared" si="334"/>
        <v>816</v>
      </c>
      <c r="B816" s="14" t="s">
        <v>557</v>
      </c>
      <c r="D816" s="14">
        <f t="shared" ref="D816:J816" si="340">SUM(D811:D814)</f>
        <v>290976069.5</v>
      </c>
      <c r="E816" s="14">
        <f t="shared" si="340"/>
        <v>-81023082</v>
      </c>
      <c r="F816" s="14">
        <f t="shared" si="340"/>
        <v>209952987.5</v>
      </c>
      <c r="G816" s="14">
        <f t="shared" si="340"/>
        <v>-176913553.5</v>
      </c>
      <c r="H816" s="14">
        <f t="shared" si="340"/>
        <v>33039434</v>
      </c>
      <c r="I816" s="14">
        <f t="shared" si="340"/>
        <v>0</v>
      </c>
      <c r="J816" s="14">
        <f t="shared" si="340"/>
        <v>33039434</v>
      </c>
    </row>
    <row r="817" spans="1:10" ht="10.5" customHeight="1" x14ac:dyDescent="0.2">
      <c r="A817" s="5">
        <f t="shared" si="334"/>
        <v>817</v>
      </c>
      <c r="B817" s="14" t="s">
        <v>22</v>
      </c>
      <c r="E817" s="14"/>
      <c r="J817" s="14"/>
    </row>
    <row r="818" spans="1:10" ht="10.5" customHeight="1" x14ac:dyDescent="0.2">
      <c r="A818" s="5">
        <f t="shared" si="334"/>
        <v>818</v>
      </c>
      <c r="B818" s="14" t="s">
        <v>558</v>
      </c>
      <c r="D818" s="14">
        <f>D809+D816</f>
        <v>447486737.65152311</v>
      </c>
      <c r="E818" s="14">
        <f>F818-D818</f>
        <v>-3120476.2799999714</v>
      </c>
      <c r="F818" s="14">
        <f>F809+F816</f>
        <v>444366261.37152314</v>
      </c>
      <c r="G818" s="14">
        <f t="shared" ref="G818" si="341">G809+G816</f>
        <v>-117767568.29937127</v>
      </c>
      <c r="H818" s="14">
        <f>H809+H816</f>
        <v>326598693.0721519</v>
      </c>
      <c r="I818" s="14">
        <f>SUM(I809+I816)</f>
        <v>-15593045.606597079</v>
      </c>
      <c r="J818" s="14"/>
    </row>
    <row r="819" spans="1:10" ht="10.5" customHeight="1" x14ac:dyDescent="0.2">
      <c r="A819" s="5">
        <f t="shared" si="334"/>
        <v>819</v>
      </c>
      <c r="B819" s="14" t="s">
        <v>22</v>
      </c>
      <c r="C819" s="14" t="s">
        <v>41</v>
      </c>
      <c r="E819" s="14"/>
      <c r="J819" s="14"/>
    </row>
    <row r="820" spans="1:10" ht="10.5" customHeight="1" x14ac:dyDescent="0.2">
      <c r="A820" s="5">
        <f t="shared" si="334"/>
        <v>820</v>
      </c>
      <c r="B820" s="14" t="s">
        <v>22</v>
      </c>
      <c r="C820" s="14" t="s">
        <v>559</v>
      </c>
      <c r="D820" s="58">
        <v>20482426</v>
      </c>
      <c r="E820" s="14">
        <v>0</v>
      </c>
      <c r="F820" s="14">
        <f>D820+E820</f>
        <v>20482426</v>
      </c>
      <c r="G820" s="14">
        <f>H820-F820</f>
        <v>-5362174</v>
      </c>
      <c r="H820" s="17">
        <v>15120252</v>
      </c>
      <c r="I820" s="14">
        <v>0</v>
      </c>
      <c r="J820" s="14">
        <f>SUM(H820:I820)</f>
        <v>15120252</v>
      </c>
    </row>
    <row r="821" spans="1:10" ht="10.5" customHeight="1" x14ac:dyDescent="0.2">
      <c r="A821" s="5">
        <f t="shared" si="334"/>
        <v>821</v>
      </c>
      <c r="C821" s="72" t="s">
        <v>560</v>
      </c>
      <c r="D821" s="58">
        <v>29843708</v>
      </c>
      <c r="E821" s="14">
        <v>0</v>
      </c>
      <c r="F821" s="14">
        <f>D821+E821</f>
        <v>29843708</v>
      </c>
      <c r="G821" s="14">
        <f>H821-F821</f>
        <v>-41828358</v>
      </c>
      <c r="H821" s="17">
        <f>-133792223+121807573</f>
        <v>-11984650</v>
      </c>
      <c r="I821" s="14">
        <v>0</v>
      </c>
      <c r="J821" s="14">
        <f>SUM(H821:I821)</f>
        <v>-11984650</v>
      </c>
    </row>
    <row r="822" spans="1:10" ht="10.5" customHeight="1" x14ac:dyDescent="0.2">
      <c r="A822" s="5">
        <f t="shared" si="334"/>
        <v>822</v>
      </c>
      <c r="C822" s="58" t="s">
        <v>561</v>
      </c>
      <c r="D822" s="70">
        <v>-38644853.5</v>
      </c>
      <c r="E822" s="14">
        <v>0</v>
      </c>
      <c r="F822" s="14">
        <f>D822+E822</f>
        <v>-38644853.5</v>
      </c>
      <c r="G822" s="14">
        <f t="shared" ref="G822" si="342">H822-F822</f>
        <v>38644853.5</v>
      </c>
      <c r="H822" s="17">
        <v>0</v>
      </c>
      <c r="I822" s="17">
        <v>0</v>
      </c>
      <c r="J822" s="14">
        <f>SUM(H822:I822)</f>
        <v>0</v>
      </c>
    </row>
    <row r="823" spans="1:10" ht="10.5" customHeight="1" x14ac:dyDescent="0.2">
      <c r="A823" s="5">
        <f t="shared" si="334"/>
        <v>823</v>
      </c>
      <c r="B823" s="14" t="s">
        <v>22</v>
      </c>
      <c r="C823" s="14" t="s">
        <v>41</v>
      </c>
      <c r="E823" s="14"/>
      <c r="J823" s="14"/>
    </row>
    <row r="824" spans="1:10" ht="10.5" customHeight="1" x14ac:dyDescent="0.2">
      <c r="A824" s="5">
        <f t="shared" si="334"/>
        <v>824</v>
      </c>
      <c r="B824" s="14" t="s">
        <v>562</v>
      </c>
      <c r="D824" s="14">
        <f>SUM(D818:D822)</f>
        <v>459168018.15152311</v>
      </c>
      <c r="E824" s="14">
        <f>F824-D824</f>
        <v>-3120476.2799999714</v>
      </c>
      <c r="F824" s="14">
        <f>SUM(F818:F822)</f>
        <v>456047541.87152314</v>
      </c>
      <c r="G824" s="14">
        <f>SUM(G818:G822)</f>
        <v>-126313246.79937127</v>
      </c>
      <c r="H824" s="14">
        <f>SUM(H818:H822)</f>
        <v>329734295.0721519</v>
      </c>
      <c r="I824" s="14">
        <f t="shared" ref="I824" si="343">SUM(I818:I822)</f>
        <v>-15593045.606597079</v>
      </c>
      <c r="J824" s="14">
        <f>SUM(H824:I824)</f>
        <v>314141249.46555483</v>
      </c>
    </row>
    <row r="825" spans="1:10" ht="10.5" customHeight="1" x14ac:dyDescent="0.2">
      <c r="A825" s="5">
        <f t="shared" si="334"/>
        <v>825</v>
      </c>
      <c r="C825" s="58" t="s">
        <v>563</v>
      </c>
      <c r="D825" s="14">
        <f>D824*0.04545455</f>
        <v>20871275.639469318</v>
      </c>
      <c r="E825" s="14">
        <f>F825-D825</f>
        <v>-141839.84509307519</v>
      </c>
      <c r="F825" s="14">
        <f>F824*0.04545455</f>
        <v>20729435.794376243</v>
      </c>
      <c r="G825" s="14">
        <f>G824*0.04545455</f>
        <v>-5741511.7923043622</v>
      </c>
      <c r="H825" s="14">
        <f>H824*0.04545455</f>
        <v>14987924.002071884</v>
      </c>
      <c r="I825" s="14">
        <f>I824*0.04545455</f>
        <v>-708774.87117734726</v>
      </c>
      <c r="J825" s="14">
        <f>SUM(H825:I825)</f>
        <v>14279149.130894536</v>
      </c>
    </row>
    <row r="826" spans="1:10" ht="10.5" customHeight="1" x14ac:dyDescent="0.2">
      <c r="A826" s="5">
        <f t="shared" si="334"/>
        <v>826</v>
      </c>
      <c r="C826" s="58" t="s">
        <v>564</v>
      </c>
      <c r="D826" s="14">
        <v>0</v>
      </c>
      <c r="E826" s="14">
        <v>0</v>
      </c>
      <c r="F826" s="14">
        <f>D826+E826</f>
        <v>0</v>
      </c>
      <c r="G826" s="14">
        <f>H826-F826</f>
        <v>0</v>
      </c>
      <c r="H826" s="14">
        <v>0</v>
      </c>
      <c r="I826" s="14">
        <v>0</v>
      </c>
      <c r="J826" s="14">
        <f>SUM(H826:I826)</f>
        <v>0</v>
      </c>
    </row>
    <row r="827" spans="1:10" ht="10.5" customHeight="1" x14ac:dyDescent="0.2">
      <c r="A827" s="5">
        <f t="shared" si="334"/>
        <v>827</v>
      </c>
      <c r="B827" s="58" t="s">
        <v>565</v>
      </c>
      <c r="D827" s="14">
        <f>D825+D826</f>
        <v>20871275.639469318</v>
      </c>
      <c r="E827" s="14">
        <f t="shared" ref="E827:I827" si="344">E825+E826</f>
        <v>-141839.84509307519</v>
      </c>
      <c r="F827" s="14">
        <f t="shared" si="344"/>
        <v>20729435.794376243</v>
      </c>
      <c r="G827" s="14">
        <f t="shared" si="344"/>
        <v>-5741511.7923043622</v>
      </c>
      <c r="H827" s="14">
        <f t="shared" si="344"/>
        <v>14987924.002071884</v>
      </c>
      <c r="I827" s="14">
        <f t="shared" si="344"/>
        <v>-708774.87117734726</v>
      </c>
      <c r="J827" s="14">
        <f>SUM(H827:I827)</f>
        <v>14279149.130894536</v>
      </c>
    </row>
    <row r="828" spans="1:10" ht="10.5" customHeight="1" x14ac:dyDescent="0.2">
      <c r="A828" s="5">
        <f t="shared" si="334"/>
        <v>828</v>
      </c>
      <c r="B828" s="58"/>
      <c r="E828" s="14"/>
      <c r="J828" s="14"/>
    </row>
    <row r="829" spans="1:10" ht="10.5" customHeight="1" x14ac:dyDescent="0.2">
      <c r="A829" s="5">
        <f t="shared" si="334"/>
        <v>829</v>
      </c>
      <c r="B829" s="58" t="s">
        <v>566</v>
      </c>
      <c r="C829" s="58"/>
      <c r="D829" s="14">
        <f>D827*0.066</f>
        <v>1377504.1922049751</v>
      </c>
      <c r="E829" s="14">
        <f>F829-D829</f>
        <v>-9361.4297761430498</v>
      </c>
      <c r="F829" s="14">
        <f>F827*0.066</f>
        <v>1368142.762428832</v>
      </c>
      <c r="G829" s="14">
        <f t="shared" ref="G829:I829" si="345">G827*0.066</f>
        <v>-378939.7782920879</v>
      </c>
      <c r="H829" s="14">
        <f t="shared" si="345"/>
        <v>989202.9841367444</v>
      </c>
      <c r="I829" s="14">
        <f t="shared" si="345"/>
        <v>-46779.141497704921</v>
      </c>
      <c r="J829" s="14">
        <f>SUM(H829:I829)</f>
        <v>942423.8426390395</v>
      </c>
    </row>
    <row r="830" spans="1:10" ht="10.5" customHeight="1" x14ac:dyDescent="0.2">
      <c r="A830" s="5">
        <f t="shared" si="334"/>
        <v>830</v>
      </c>
      <c r="B830" s="58" t="s">
        <v>22</v>
      </c>
      <c r="C830" s="58" t="s">
        <v>567</v>
      </c>
      <c r="D830" s="14">
        <v>0</v>
      </c>
      <c r="E830" s="14">
        <v>0</v>
      </c>
      <c r="F830" s="14">
        <f>D830+E830</f>
        <v>0</v>
      </c>
      <c r="G830" s="14">
        <f>H830-F830</f>
        <v>0</v>
      </c>
      <c r="H830" s="14">
        <v>0</v>
      </c>
      <c r="I830" s="14">
        <v>0</v>
      </c>
      <c r="J830" s="14">
        <f>SUM(H830:I830)</f>
        <v>0</v>
      </c>
    </row>
    <row r="831" spans="1:10" ht="10.5" customHeight="1" x14ac:dyDescent="0.2">
      <c r="A831" s="5">
        <f t="shared" si="334"/>
        <v>831</v>
      </c>
      <c r="B831" s="58"/>
      <c r="C831" s="58"/>
      <c r="E831" s="14"/>
      <c r="J831" s="14"/>
    </row>
    <row r="832" spans="1:10" ht="10.5" customHeight="1" x14ac:dyDescent="0.2">
      <c r="A832" s="5">
        <f t="shared" si="334"/>
        <v>832</v>
      </c>
      <c r="B832" s="58" t="s">
        <v>568</v>
      </c>
      <c r="C832" s="58"/>
      <c r="D832" s="14">
        <f>D829-D830</f>
        <v>1377504.1922049751</v>
      </c>
      <c r="E832" s="14">
        <f>F832-D832</f>
        <v>-9361.4297761430498</v>
      </c>
      <c r="F832" s="14">
        <f t="shared" ref="F832:I832" si="346">F829-F830</f>
        <v>1368142.762428832</v>
      </c>
      <c r="G832" s="14">
        <f t="shared" si="346"/>
        <v>-378939.7782920879</v>
      </c>
      <c r="H832" s="14">
        <f t="shared" si="346"/>
        <v>989202.9841367444</v>
      </c>
      <c r="I832" s="14">
        <f t="shared" si="346"/>
        <v>-46779.141497704921</v>
      </c>
      <c r="J832" s="14">
        <f>SUM(H832:I832)</f>
        <v>942423.8426390395</v>
      </c>
    </row>
    <row r="833" spans="1:10" ht="10.5" customHeight="1" x14ac:dyDescent="0.2">
      <c r="A833" s="5">
        <f t="shared" si="334"/>
        <v>833</v>
      </c>
      <c r="B833" s="58" t="s">
        <v>22</v>
      </c>
      <c r="C833" s="17" t="s">
        <v>569</v>
      </c>
      <c r="D833" s="14">
        <v>391114.25</v>
      </c>
      <c r="E833" s="14">
        <v>0</v>
      </c>
      <c r="F833" s="14">
        <f>D833+E833</f>
        <v>391114.25</v>
      </c>
      <c r="G833" s="14">
        <f>H833-F833</f>
        <v>-391114.25</v>
      </c>
      <c r="H833" s="14">
        <v>0</v>
      </c>
      <c r="I833" s="14">
        <v>0</v>
      </c>
      <c r="J833" s="14">
        <f>SUM(H833:I833)</f>
        <v>0</v>
      </c>
    </row>
    <row r="834" spans="1:10" ht="10.5" customHeight="1" x14ac:dyDescent="0.2">
      <c r="A834" s="5">
        <f t="shared" si="334"/>
        <v>834</v>
      </c>
      <c r="B834" s="58" t="s">
        <v>22</v>
      </c>
      <c r="C834" s="58" t="s">
        <v>570</v>
      </c>
      <c r="D834" s="58">
        <v>-151999</v>
      </c>
      <c r="E834" s="14">
        <v>0</v>
      </c>
      <c r="F834" s="14">
        <f>D834+E834</f>
        <v>-151999</v>
      </c>
      <c r="G834" s="14">
        <f>H834-F834</f>
        <v>151999</v>
      </c>
      <c r="H834" s="14">
        <v>0</v>
      </c>
      <c r="I834" s="14">
        <v>0</v>
      </c>
      <c r="J834" s="14">
        <f>SUM(H834:I834)</f>
        <v>0</v>
      </c>
    </row>
    <row r="835" spans="1:10" ht="10.5" customHeight="1" x14ac:dyDescent="0.2">
      <c r="A835" s="5">
        <f t="shared" si="334"/>
        <v>835</v>
      </c>
      <c r="B835" s="58"/>
      <c r="C835" s="58"/>
      <c r="E835" s="14"/>
      <c r="J835" s="14"/>
    </row>
    <row r="836" spans="1:10" ht="10.5" customHeight="1" x14ac:dyDescent="0.2">
      <c r="A836" s="5">
        <f t="shared" si="334"/>
        <v>836</v>
      </c>
      <c r="B836" s="58" t="s">
        <v>571</v>
      </c>
      <c r="C836" s="58"/>
      <c r="D836" s="14">
        <f>SUM(D832:D834)</f>
        <v>1616619.4422049751</v>
      </c>
      <c r="E836" s="14">
        <f t="shared" ref="E836:I836" si="347">SUM(E832:E834)</f>
        <v>-9361.4297761430498</v>
      </c>
      <c r="F836" s="14">
        <f t="shared" si="347"/>
        <v>1607258.012428832</v>
      </c>
      <c r="G836" s="14">
        <f t="shared" si="347"/>
        <v>-618055.02829208784</v>
      </c>
      <c r="H836" s="14">
        <f t="shared" si="347"/>
        <v>989202.9841367444</v>
      </c>
      <c r="I836" s="14">
        <f t="shared" si="347"/>
        <v>-46779.141497704921</v>
      </c>
      <c r="J836" s="14">
        <f>SUM(J832:J834)</f>
        <v>942423.8426390395</v>
      </c>
    </row>
    <row r="837" spans="1:10" ht="10.5" customHeight="1" x14ac:dyDescent="0.2">
      <c r="A837" s="5">
        <f t="shared" si="334"/>
        <v>837</v>
      </c>
      <c r="B837" s="13" t="s">
        <v>572</v>
      </c>
      <c r="E837" s="14"/>
      <c r="J837" s="14"/>
    </row>
    <row r="838" spans="1:10" ht="10.5" customHeight="1" x14ac:dyDescent="0.2">
      <c r="A838" s="5">
        <f t="shared" si="334"/>
        <v>838</v>
      </c>
      <c r="B838" s="14" t="s">
        <v>22</v>
      </c>
      <c r="E838" s="14"/>
      <c r="J838" s="14">
        <f t="shared" ref="J838:J852" si="348">SUM(H838:I838)</f>
        <v>0</v>
      </c>
    </row>
    <row r="839" spans="1:10" ht="10.5" customHeight="1" x14ac:dyDescent="0.2">
      <c r="A839" s="5">
        <f t="shared" si="334"/>
        <v>839</v>
      </c>
      <c r="B839" s="14" t="s">
        <v>573</v>
      </c>
      <c r="D839" s="14">
        <f>D786</f>
        <v>156510668.15152308</v>
      </c>
      <c r="E839" s="14">
        <f>E786</f>
        <v>77902605.720000029</v>
      </c>
      <c r="F839" s="14">
        <f t="shared" ref="F839:G839" si="349">F786</f>
        <v>234413273.87152311</v>
      </c>
      <c r="G839" s="14">
        <f t="shared" si="349"/>
        <v>59145985.200628728</v>
      </c>
      <c r="H839" s="14">
        <f>H786</f>
        <v>293559259.0721519</v>
      </c>
      <c r="I839" s="14">
        <f>I786</f>
        <v>-15593045.606597079</v>
      </c>
      <c r="J839" s="14">
        <f>SUM(H839:I839)</f>
        <v>277966213.46555483</v>
      </c>
    </row>
    <row r="840" spans="1:10" ht="10.5" customHeight="1" x14ac:dyDescent="0.2">
      <c r="A840" s="5">
        <f t="shared" si="334"/>
        <v>840</v>
      </c>
      <c r="B840" s="14" t="s">
        <v>22</v>
      </c>
      <c r="E840" s="14"/>
      <c r="J840" s="14"/>
    </row>
    <row r="841" spans="1:10" ht="10.5" customHeight="1" x14ac:dyDescent="0.2">
      <c r="A841" s="5">
        <f t="shared" si="334"/>
        <v>841</v>
      </c>
      <c r="B841" s="14" t="s">
        <v>553</v>
      </c>
      <c r="D841" s="14">
        <f>D$799</f>
        <v>81023082</v>
      </c>
      <c r="E841" s="14">
        <f>F841-D841</f>
        <v>-81023082</v>
      </c>
      <c r="F841" s="14">
        <f>F$799</f>
        <v>0</v>
      </c>
      <c r="G841" s="14">
        <f>G$799</f>
        <v>0</v>
      </c>
      <c r="H841" s="14">
        <f>H$799</f>
        <v>0</v>
      </c>
      <c r="I841" s="14">
        <f>I$799</f>
        <v>0</v>
      </c>
      <c r="J841" s="14">
        <f t="shared" si="348"/>
        <v>0</v>
      </c>
    </row>
    <row r="842" spans="1:10" ht="10.5" customHeight="1" x14ac:dyDescent="0.2">
      <c r="A842" s="5">
        <f t="shared" si="334"/>
        <v>842</v>
      </c>
      <c r="B842" s="14" t="s">
        <v>554</v>
      </c>
      <c r="D842" s="17">
        <f>D800</f>
        <v>82338172.5</v>
      </c>
      <c r="E842" s="14">
        <v>0</v>
      </c>
      <c r="F842" s="14">
        <f>D842+E842</f>
        <v>82338172.5</v>
      </c>
      <c r="G842" s="14">
        <f>H842-F842</f>
        <v>-30049949.5</v>
      </c>
      <c r="H842" s="17">
        <f>H812</f>
        <v>52288223</v>
      </c>
      <c r="I842" s="14">
        <v>0</v>
      </c>
      <c r="J842" s="14">
        <f t="shared" si="348"/>
        <v>52288223</v>
      </c>
    </row>
    <row r="843" spans="1:10" ht="10.5" customHeight="1" x14ac:dyDescent="0.2">
      <c r="A843" s="5">
        <f t="shared" si="334"/>
        <v>843</v>
      </c>
      <c r="B843" s="14" t="s">
        <v>555</v>
      </c>
      <c r="D843" s="17">
        <f>D801</f>
        <v>127614815</v>
      </c>
      <c r="E843" s="14">
        <v>0</v>
      </c>
      <c r="F843" s="14">
        <f>D843+E843</f>
        <v>127614815</v>
      </c>
      <c r="G843" s="14">
        <f>H843-F843</f>
        <v>-146863604</v>
      </c>
      <c r="H843" s="17">
        <f>H813</f>
        <v>-19248789</v>
      </c>
      <c r="I843" s="14">
        <v>0</v>
      </c>
      <c r="J843" s="14">
        <f t="shared" si="348"/>
        <v>-19248789</v>
      </c>
    </row>
    <row r="844" spans="1:10" ht="10.5" customHeight="1" x14ac:dyDescent="0.2">
      <c r="A844" s="5">
        <f t="shared" ref="A844:A907" si="350">A843+1</f>
        <v>844</v>
      </c>
      <c r="B844" s="14" t="s">
        <v>22</v>
      </c>
      <c r="E844" s="14"/>
      <c r="J844" s="14">
        <f t="shared" si="348"/>
        <v>0</v>
      </c>
    </row>
    <row r="845" spans="1:10" ht="10.5" customHeight="1" x14ac:dyDescent="0.2">
      <c r="A845" s="5">
        <f t="shared" si="350"/>
        <v>845</v>
      </c>
      <c r="B845" s="14" t="s">
        <v>574</v>
      </c>
      <c r="D845" s="14">
        <f>SUM(D839:D843)</f>
        <v>447486737.65152311</v>
      </c>
      <c r="E845" s="14">
        <f>F845-D845</f>
        <v>-3120476.2799999714</v>
      </c>
      <c r="F845" s="14">
        <f>SUM(F839:F843)</f>
        <v>444366261.37152314</v>
      </c>
      <c r="G845" s="14">
        <f t="shared" ref="G845" si="351">SUM(G839:G843)</f>
        <v>-117767568.29937127</v>
      </c>
      <c r="H845" s="14">
        <f>SUM(H839:H843)</f>
        <v>326598693.0721519</v>
      </c>
      <c r="I845" s="14">
        <f>SUM(I839:I843)</f>
        <v>-15593045.606597079</v>
      </c>
      <c r="J845" s="14">
        <f>SUM(J839:J843)</f>
        <v>311005647.46555483</v>
      </c>
    </row>
    <row r="846" spans="1:10" ht="10.5" customHeight="1" x14ac:dyDescent="0.2">
      <c r="A846" s="5">
        <f t="shared" si="350"/>
        <v>846</v>
      </c>
      <c r="B846" s="14" t="s">
        <v>22</v>
      </c>
      <c r="C846" s="14" t="s">
        <v>41</v>
      </c>
      <c r="E846" s="14"/>
      <c r="J846" s="14">
        <f t="shared" si="348"/>
        <v>0</v>
      </c>
    </row>
    <row r="847" spans="1:10" ht="10.5" customHeight="1" x14ac:dyDescent="0.2">
      <c r="A847" s="5">
        <f t="shared" si="350"/>
        <v>847</v>
      </c>
      <c r="B847" s="14" t="s">
        <v>22</v>
      </c>
      <c r="C847" s="14" t="s">
        <v>559</v>
      </c>
      <c r="D847" s="70">
        <v>20482426</v>
      </c>
      <c r="E847" s="14">
        <f>F847-D847</f>
        <v>0</v>
      </c>
      <c r="F847" s="14">
        <f>F$820</f>
        <v>20482426</v>
      </c>
      <c r="G847" s="14">
        <f t="shared" ref="G847" si="352">G$820</f>
        <v>-5362174</v>
      </c>
      <c r="H847" s="14">
        <v>15120252</v>
      </c>
      <c r="I847" s="14">
        <f>I$820</f>
        <v>0</v>
      </c>
      <c r="J847" s="14">
        <f t="shared" si="348"/>
        <v>15120252</v>
      </c>
    </row>
    <row r="848" spans="1:10" ht="10.5" customHeight="1" x14ac:dyDescent="0.2">
      <c r="A848" s="5">
        <f t="shared" si="350"/>
        <v>848</v>
      </c>
      <c r="B848" s="14" t="s">
        <v>22</v>
      </c>
      <c r="C848" s="14" t="s">
        <v>575</v>
      </c>
      <c r="D848" s="70">
        <v>6561156</v>
      </c>
      <c r="E848" s="14">
        <v>0</v>
      </c>
      <c r="F848" s="14">
        <f>D848+E848</f>
        <v>6561156</v>
      </c>
      <c r="G848" s="14">
        <f>H848-F848</f>
        <v>-38464777</v>
      </c>
      <c r="H848" s="17">
        <f>-133792233+101888612</f>
        <v>-31903621</v>
      </c>
      <c r="I848" s="14">
        <v>0</v>
      </c>
      <c r="J848" s="14">
        <f t="shared" si="348"/>
        <v>-31903621</v>
      </c>
    </row>
    <row r="849" spans="1:10" ht="10.5" customHeight="1" x14ac:dyDescent="0.2">
      <c r="A849" s="5">
        <f t="shared" si="350"/>
        <v>849</v>
      </c>
      <c r="C849" s="58" t="s">
        <v>576</v>
      </c>
      <c r="D849" s="70">
        <v>-38644853.5</v>
      </c>
      <c r="E849" s="14">
        <v>0</v>
      </c>
      <c r="F849" s="14">
        <f>D849+E849</f>
        <v>-38644853.5</v>
      </c>
      <c r="G849" s="14">
        <f>H849-F849</f>
        <v>38644853.5</v>
      </c>
      <c r="H849" s="17">
        <v>0</v>
      </c>
      <c r="I849" s="17">
        <v>0</v>
      </c>
      <c r="J849" s="14">
        <f t="shared" si="348"/>
        <v>0</v>
      </c>
    </row>
    <row r="850" spans="1:10" ht="10.5" customHeight="1" x14ac:dyDescent="0.2">
      <c r="A850" s="5">
        <f t="shared" si="350"/>
        <v>850</v>
      </c>
      <c r="B850" s="14" t="s">
        <v>577</v>
      </c>
      <c r="D850" s="14">
        <f>SUM(D845:D849)</f>
        <v>435885466.15152311</v>
      </c>
      <c r="E850" s="14">
        <f>F850-D850</f>
        <v>-3120476.2799999714</v>
      </c>
      <c r="F850" s="14">
        <f t="shared" ref="F850:I850" si="353">SUM(F845:F849)</f>
        <v>432764989.87152314</v>
      </c>
      <c r="G850" s="14">
        <f t="shared" si="353"/>
        <v>-122949665.79937127</v>
      </c>
      <c r="H850" s="14">
        <f>SUM(H845:H849)</f>
        <v>309815324.0721519</v>
      </c>
      <c r="I850" s="14">
        <f t="shared" si="353"/>
        <v>-15593045.606597079</v>
      </c>
      <c r="J850" s="14">
        <f>SUM(J845:J849)</f>
        <v>294222278.46555483</v>
      </c>
    </row>
    <row r="851" spans="1:10" ht="10.5" customHeight="1" x14ac:dyDescent="0.2">
      <c r="A851" s="5">
        <f t="shared" si="350"/>
        <v>851</v>
      </c>
      <c r="B851" s="14" t="s">
        <v>41</v>
      </c>
      <c r="C851" s="17" t="s">
        <v>578</v>
      </c>
      <c r="D851" s="14">
        <f>D850*0.88679245</f>
        <v>386539940.44790125</v>
      </c>
      <c r="E851" s="14">
        <f>F851-D851</f>
        <v>-2767214.8055080771</v>
      </c>
      <c r="F851" s="14">
        <f>F850*0.88679245</f>
        <v>383772725.64239317</v>
      </c>
      <c r="G851" s="14">
        <f>G850*0.88679245</f>
        <v>-109030835.36090565</v>
      </c>
      <c r="H851" s="14">
        <f>H850*0.88679245</f>
        <v>274741890.28148752</v>
      </c>
      <c r="I851" s="14">
        <f>I850*0.88679245</f>
        <v>-13827795.11643596</v>
      </c>
      <c r="J851" s="14">
        <f>J850*0.88679245</f>
        <v>260914095.16505161</v>
      </c>
    </row>
    <row r="852" spans="1:10" ht="10.5" customHeight="1" x14ac:dyDescent="0.2">
      <c r="A852" s="5">
        <f t="shared" si="350"/>
        <v>852</v>
      </c>
      <c r="C852" s="77" t="s">
        <v>579</v>
      </c>
      <c r="D852" s="14">
        <v>0</v>
      </c>
      <c r="E852" s="14">
        <v>0</v>
      </c>
      <c r="F852" s="14">
        <f>D852+E852</f>
        <v>0</v>
      </c>
      <c r="G852" s="14">
        <f>H852-F852</f>
        <v>0</v>
      </c>
      <c r="H852" s="14">
        <v>0</v>
      </c>
      <c r="I852" s="14">
        <v>0</v>
      </c>
      <c r="J852" s="14">
        <f t="shared" si="348"/>
        <v>0</v>
      </c>
    </row>
    <row r="853" spans="1:10" ht="10.5" customHeight="1" x14ac:dyDescent="0.2">
      <c r="A853" s="5">
        <f t="shared" si="350"/>
        <v>853</v>
      </c>
      <c r="B853" s="77" t="s">
        <v>580</v>
      </c>
      <c r="D853" s="70">
        <f>D851+D852</f>
        <v>386539940.44790125</v>
      </c>
      <c r="E853" s="14">
        <f>F853-D853</f>
        <v>-2767214.8055080771</v>
      </c>
      <c r="F853" s="14">
        <f>F851+F852</f>
        <v>383772725.64239317</v>
      </c>
      <c r="G853" s="14">
        <f t="shared" ref="G853:I853" si="354">G851+G852</f>
        <v>-109030835.36090565</v>
      </c>
      <c r="H853" s="14">
        <f>H851+H852</f>
        <v>274741890.28148752</v>
      </c>
      <c r="I853" s="14">
        <f t="shared" si="354"/>
        <v>-13827795.11643596</v>
      </c>
      <c r="J853" s="14">
        <f>J851+J852</f>
        <v>260914095.16505161</v>
      </c>
    </row>
    <row r="854" spans="1:10" ht="10.5" customHeight="1" x14ac:dyDescent="0.2">
      <c r="A854" s="5">
        <f t="shared" si="350"/>
        <v>854</v>
      </c>
      <c r="B854" s="17" t="s">
        <v>581</v>
      </c>
      <c r="C854" s="17"/>
      <c r="D854" s="70">
        <f>D853*5.3%</f>
        <v>20486616.843738765</v>
      </c>
      <c r="E854" s="14">
        <f>F854-D854</f>
        <v>-146662.38469192758</v>
      </c>
      <c r="F854" s="70">
        <f>F853*5.3%</f>
        <v>20339954.459046837</v>
      </c>
      <c r="G854" s="70">
        <f>G853*5.3%</f>
        <v>-5778634.2741279993</v>
      </c>
      <c r="H854" s="70">
        <f>H853*5.3%</f>
        <v>14561320.184918838</v>
      </c>
      <c r="I854" s="70">
        <f>I853*5.3%</f>
        <v>-732873.1411711059</v>
      </c>
      <c r="J854" s="70">
        <f>J853*5.3%</f>
        <v>13828447.043747734</v>
      </c>
    </row>
    <row r="855" spans="1:10" ht="10.5" customHeight="1" x14ac:dyDescent="0.2">
      <c r="A855" s="5">
        <f t="shared" si="350"/>
        <v>855</v>
      </c>
      <c r="B855" s="14" t="s">
        <v>41</v>
      </c>
      <c r="C855" s="17" t="s">
        <v>567</v>
      </c>
      <c r="D855" s="14">
        <v>14704525</v>
      </c>
      <c r="E855" s="14">
        <v>0</v>
      </c>
      <c r="F855" s="14">
        <f>D855+E855</f>
        <v>14704525</v>
      </c>
      <c r="G855" s="14">
        <f>H855-F855</f>
        <v>5984475</v>
      </c>
      <c r="H855" s="14">
        <v>20689000</v>
      </c>
      <c r="I855" s="14">
        <v>0</v>
      </c>
      <c r="J855" s="14">
        <f>SUM(H855:I855)</f>
        <v>20689000</v>
      </c>
    </row>
    <row r="856" spans="1:10" ht="10.5" customHeight="1" x14ac:dyDescent="0.2">
      <c r="A856" s="5">
        <f t="shared" si="350"/>
        <v>856</v>
      </c>
      <c r="C856" s="17"/>
      <c r="E856" s="14"/>
      <c r="J856" s="14"/>
    </row>
    <row r="857" spans="1:10" ht="10.5" customHeight="1" x14ac:dyDescent="0.2">
      <c r="A857" s="5">
        <f t="shared" si="350"/>
        <v>857</v>
      </c>
      <c r="B857" s="14" t="s">
        <v>582</v>
      </c>
      <c r="D857" s="14">
        <f>D854-D855</f>
        <v>5782091.8437387645</v>
      </c>
      <c r="E857" s="14">
        <f>F857-D857</f>
        <v>-146662.38469192758</v>
      </c>
      <c r="F857" s="14">
        <f>F854-F855</f>
        <v>5635429.4590468369</v>
      </c>
      <c r="G857" s="14">
        <f t="shared" ref="G857" si="355">G854-G855</f>
        <v>-11763109.274127999</v>
      </c>
      <c r="H857" s="14">
        <f>H854-H855</f>
        <v>-6127679.8150811624</v>
      </c>
      <c r="I857" s="14">
        <f>I854-I855</f>
        <v>-732873.1411711059</v>
      </c>
      <c r="J857" s="14">
        <f>J854-J855</f>
        <v>-6860552.9562522657</v>
      </c>
    </row>
    <row r="858" spans="1:10" ht="10.5" customHeight="1" x14ac:dyDescent="0.2">
      <c r="A858" s="5">
        <f t="shared" si="350"/>
        <v>858</v>
      </c>
      <c r="B858" s="14" t="s">
        <v>41</v>
      </c>
      <c r="C858" s="17" t="s">
        <v>583</v>
      </c>
      <c r="D858" s="70">
        <v>-2848695.14</v>
      </c>
      <c r="E858" s="14">
        <v>0</v>
      </c>
      <c r="F858" s="14">
        <f>D858+E858</f>
        <v>-2848695.14</v>
      </c>
      <c r="G858" s="14">
        <f>H858-F858</f>
        <v>2848695.14</v>
      </c>
      <c r="H858" s="17">
        <v>0</v>
      </c>
      <c r="I858" s="14">
        <v>0</v>
      </c>
      <c r="J858" s="14">
        <f>SUM(H858:I858)</f>
        <v>0</v>
      </c>
    </row>
    <row r="859" spans="1:10" ht="10.5" customHeight="1" x14ac:dyDescent="0.2">
      <c r="A859" s="5">
        <f t="shared" si="350"/>
        <v>859</v>
      </c>
      <c r="B859" s="14" t="s">
        <v>41</v>
      </c>
      <c r="C859" s="58" t="s">
        <v>541</v>
      </c>
      <c r="D859" s="70">
        <v>1312742.1399999999</v>
      </c>
      <c r="E859" s="14">
        <v>0</v>
      </c>
      <c r="F859" s="14">
        <f>D859+E859</f>
        <v>1312742.1399999999</v>
      </c>
      <c r="G859" s="14">
        <f>H859-F859</f>
        <v>-1312742.1399999999</v>
      </c>
      <c r="H859" s="17">
        <v>0</v>
      </c>
      <c r="I859" s="14">
        <v>0</v>
      </c>
      <c r="J859" s="14">
        <f>SUM(H859:I859)</f>
        <v>0</v>
      </c>
    </row>
    <row r="860" spans="1:10" ht="10.5" customHeight="1" x14ac:dyDescent="0.2">
      <c r="A860" s="5">
        <f t="shared" si="350"/>
        <v>860</v>
      </c>
      <c r="B860" s="14" t="s">
        <v>584</v>
      </c>
      <c r="D860" s="14">
        <f>SUM(D857:D859)</f>
        <v>4246138.8437387645</v>
      </c>
      <c r="E860" s="14">
        <f>F860-D860</f>
        <v>-146662.38469192758</v>
      </c>
      <c r="F860" s="14">
        <f>SUM(F857:F859)</f>
        <v>4099476.4590468369</v>
      </c>
      <c r="G860" s="14">
        <f t="shared" ref="G860" si="356">SUM(G857:G859)</f>
        <v>-10227156.274127999</v>
      </c>
      <c r="H860" s="14">
        <f>SUM(H857:H859)</f>
        <v>-6127679.8150811624</v>
      </c>
      <c r="I860" s="14">
        <f t="shared" ref="I860" si="357">SUM(I857:I859)</f>
        <v>-732873.1411711059</v>
      </c>
      <c r="J860" s="14">
        <f>SUM(J857:J859)</f>
        <v>-6860552.9562522657</v>
      </c>
    </row>
    <row r="861" spans="1:10" ht="10.5" customHeight="1" x14ac:dyDescent="0.2">
      <c r="A861" s="5">
        <f t="shared" si="350"/>
        <v>861</v>
      </c>
      <c r="B861" s="14" t="s">
        <v>41</v>
      </c>
      <c r="C861" s="14" t="s">
        <v>41</v>
      </c>
      <c r="E861" s="14"/>
      <c r="J861" s="14"/>
    </row>
    <row r="862" spans="1:10" ht="10.5" customHeight="1" x14ac:dyDescent="0.2">
      <c r="A862" s="5">
        <f t="shared" si="350"/>
        <v>862</v>
      </c>
      <c r="B862" s="13" t="s">
        <v>585</v>
      </c>
      <c r="E862" s="14"/>
      <c r="J862" s="14"/>
    </row>
    <row r="863" spans="1:10" ht="10.5" customHeight="1" x14ac:dyDescent="0.2">
      <c r="A863" s="5">
        <f t="shared" si="350"/>
        <v>863</v>
      </c>
      <c r="B863" s="14" t="s">
        <v>586</v>
      </c>
      <c r="D863" s="14">
        <f>D845</f>
        <v>447486737.65152311</v>
      </c>
      <c r="E863" s="14">
        <f>F863-D863</f>
        <v>-3120476.2799999714</v>
      </c>
      <c r="F863" s="14">
        <f>F845</f>
        <v>444366261.37152314</v>
      </c>
      <c r="G863" s="14">
        <f t="shared" ref="G863" si="358">G845</f>
        <v>-117767568.29937127</v>
      </c>
      <c r="H863" s="14">
        <f>H845</f>
        <v>326598693.0721519</v>
      </c>
      <c r="I863" s="14">
        <f t="shared" ref="I863" si="359">I845</f>
        <v>-15593045.606597079</v>
      </c>
      <c r="J863" s="14">
        <f>SUM(H863:I863)</f>
        <v>311005647.46555483</v>
      </c>
    </row>
    <row r="864" spans="1:10" ht="10.5" customHeight="1" x14ac:dyDescent="0.2">
      <c r="A864" s="5">
        <f t="shared" si="350"/>
        <v>864</v>
      </c>
      <c r="E864" s="14"/>
      <c r="J864" s="14"/>
    </row>
    <row r="865" spans="1:10" ht="10.5" customHeight="1" x14ac:dyDescent="0.2">
      <c r="A865" s="5">
        <f t="shared" si="350"/>
        <v>865</v>
      </c>
      <c r="B865" s="14" t="s">
        <v>22</v>
      </c>
      <c r="C865" s="14" t="s">
        <v>559</v>
      </c>
      <c r="D865" s="14">
        <v>20482426</v>
      </c>
      <c r="E865" s="14">
        <f>F865-D865</f>
        <v>0</v>
      </c>
      <c r="F865" s="14">
        <f>F847</f>
        <v>20482426</v>
      </c>
      <c r="G865" s="14">
        <f t="shared" ref="G865" si="360">G847</f>
        <v>-5362174</v>
      </c>
      <c r="H865" s="14">
        <f>H847</f>
        <v>15120252</v>
      </c>
      <c r="I865" s="14">
        <f>I847</f>
        <v>0</v>
      </c>
      <c r="J865" s="14">
        <f>SUM(H865:I865)</f>
        <v>15120252</v>
      </c>
    </row>
    <row r="866" spans="1:10" ht="10.5" customHeight="1" x14ac:dyDescent="0.2">
      <c r="A866" s="5">
        <f t="shared" si="350"/>
        <v>866</v>
      </c>
      <c r="C866" s="14" t="s">
        <v>575</v>
      </c>
      <c r="D866" s="70">
        <v>0</v>
      </c>
      <c r="E866" s="14">
        <v>0</v>
      </c>
      <c r="F866" s="14">
        <f>D866+E866</f>
        <v>0</v>
      </c>
      <c r="G866" s="14">
        <f>H866-F866</f>
        <v>0</v>
      </c>
      <c r="H866" s="17">
        <f>-133586763+133586763</f>
        <v>0</v>
      </c>
      <c r="I866" s="14">
        <v>0</v>
      </c>
      <c r="J866" s="14">
        <f>SUM(H866:I866)</f>
        <v>0</v>
      </c>
    </row>
    <row r="867" spans="1:10" ht="10.5" customHeight="1" x14ac:dyDescent="0.2">
      <c r="A867" s="5">
        <f t="shared" si="350"/>
        <v>867</v>
      </c>
      <c r="C867" s="58" t="s">
        <v>576</v>
      </c>
      <c r="D867" s="70">
        <v>0</v>
      </c>
      <c r="E867" s="14">
        <v>0</v>
      </c>
      <c r="F867" s="14">
        <f>D867+E867</f>
        <v>0</v>
      </c>
      <c r="G867" s="14">
        <f>H867-F867</f>
        <v>0</v>
      </c>
      <c r="H867" s="17">
        <v>0</v>
      </c>
      <c r="I867" s="14">
        <v>0</v>
      </c>
      <c r="J867" s="14">
        <f>SUM(H867:I867)</f>
        <v>0</v>
      </c>
    </row>
    <row r="868" spans="1:10" ht="10.5" customHeight="1" x14ac:dyDescent="0.2">
      <c r="A868" s="5">
        <f t="shared" si="350"/>
        <v>868</v>
      </c>
      <c r="B868" s="14" t="s">
        <v>587</v>
      </c>
      <c r="D868" s="14">
        <f>SUM(D863:D867)</f>
        <v>467969163.65152311</v>
      </c>
      <c r="E868" s="14">
        <f>F868-D868</f>
        <v>-3120476.2799999714</v>
      </c>
      <c r="F868" s="14">
        <f>SUM(F863:F867)</f>
        <v>464848687.37152314</v>
      </c>
      <c r="G868" s="14">
        <f>SUM(G863:G867)</f>
        <v>-123129742.29937127</v>
      </c>
      <c r="H868" s="14">
        <f>SUM(H863:H867)</f>
        <v>341718945.0721519</v>
      </c>
      <c r="I868" s="14">
        <f>SUM(I863:I867)</f>
        <v>-15593045.606597079</v>
      </c>
      <c r="J868" s="14">
        <f>SUM(H868:I868)</f>
        <v>326125899.46555483</v>
      </c>
    </row>
    <row r="869" spans="1:10" ht="10.5" customHeight="1" x14ac:dyDescent="0.2">
      <c r="A869" s="5">
        <f t="shared" si="350"/>
        <v>869</v>
      </c>
      <c r="C869" s="14" t="s">
        <v>588</v>
      </c>
      <c r="D869" s="14">
        <f>D868*1</f>
        <v>467969163.65152311</v>
      </c>
      <c r="E869" s="14">
        <f>E868*1</f>
        <v>-3120476.2799999714</v>
      </c>
      <c r="F869" s="14">
        <f t="shared" ref="F869:I869" si="361">F868*1</f>
        <v>464848687.37152314</v>
      </c>
      <c r="G869" s="14">
        <f t="shared" si="361"/>
        <v>-123129742.29937127</v>
      </c>
      <c r="H869" s="14">
        <f t="shared" si="361"/>
        <v>341718945.0721519</v>
      </c>
      <c r="I869" s="14">
        <f t="shared" si="361"/>
        <v>-15593045.606597079</v>
      </c>
      <c r="J869" s="14">
        <f t="shared" ref="J869:J884" si="362">SUM(H869:I869)</f>
        <v>326125899.46555483</v>
      </c>
    </row>
    <row r="870" spans="1:10" ht="10.5" customHeight="1" x14ac:dyDescent="0.2">
      <c r="A870" s="5">
        <f t="shared" si="350"/>
        <v>870</v>
      </c>
      <c r="B870" s="14" t="s">
        <v>589</v>
      </c>
      <c r="D870" s="14">
        <v>0</v>
      </c>
      <c r="E870" s="14">
        <v>0</v>
      </c>
      <c r="F870" s="14">
        <f>D870+E870</f>
        <v>0</v>
      </c>
      <c r="G870" s="14">
        <f>H870-F870</f>
        <v>0</v>
      </c>
      <c r="H870" s="14">
        <v>0</v>
      </c>
      <c r="I870" s="14">
        <v>0</v>
      </c>
      <c r="J870" s="14">
        <f>SUM(H870:I870)</f>
        <v>0</v>
      </c>
    </row>
    <row r="871" spans="1:10" ht="10.5" customHeight="1" x14ac:dyDescent="0.2">
      <c r="A871" s="5">
        <f t="shared" si="350"/>
        <v>871</v>
      </c>
      <c r="B871" s="14" t="s">
        <v>590</v>
      </c>
      <c r="C871" s="58"/>
      <c r="D871" s="70">
        <f>SUM(D869:D870)</f>
        <v>467969163.65152311</v>
      </c>
      <c r="E871" s="70">
        <f>SUM(E869:E870)</f>
        <v>-3120476.2799999714</v>
      </c>
      <c r="F871" s="70">
        <f t="shared" ref="F871:H871" si="363">SUM(F869:F870)</f>
        <v>464848687.37152314</v>
      </c>
      <c r="G871" s="70">
        <f t="shared" si="363"/>
        <v>-123129742.29937127</v>
      </c>
      <c r="H871" s="70">
        <f t="shared" si="363"/>
        <v>341718945.0721519</v>
      </c>
      <c r="I871" s="70">
        <f>SUM(I869:I870)</f>
        <v>-15593045.606597079</v>
      </c>
      <c r="J871" s="14">
        <f t="shared" si="362"/>
        <v>326125899.46555483</v>
      </c>
    </row>
    <row r="872" spans="1:10" ht="10.5" customHeight="1" x14ac:dyDescent="0.2">
      <c r="A872" s="5">
        <f t="shared" si="350"/>
        <v>872</v>
      </c>
      <c r="B872" s="14" t="s">
        <v>41</v>
      </c>
      <c r="C872" s="14" t="s">
        <v>591</v>
      </c>
      <c r="D872" s="70">
        <f>D871*0.1%</f>
        <v>467969.16365152312</v>
      </c>
      <c r="E872" s="70">
        <f>E871*0.1%</f>
        <v>-3120.4762799999717</v>
      </c>
      <c r="F872" s="70">
        <f>F871*0.1%</f>
        <v>464848.68737152318</v>
      </c>
      <c r="G872" s="70">
        <f t="shared" ref="G872:H872" si="364">G871*0.1%</f>
        <v>-123129.74229937127</v>
      </c>
      <c r="H872" s="70">
        <f t="shared" si="364"/>
        <v>341718.9450721519</v>
      </c>
      <c r="I872" s="70">
        <f>I871*0.1%</f>
        <v>-15593.045606597079</v>
      </c>
      <c r="J872" s="14">
        <f t="shared" si="362"/>
        <v>326125.8994655548</v>
      </c>
    </row>
    <row r="873" spans="1:10" ht="10.5" customHeight="1" x14ac:dyDescent="0.2">
      <c r="A873" s="5">
        <f t="shared" si="350"/>
        <v>873</v>
      </c>
      <c r="C873" s="17" t="s">
        <v>592</v>
      </c>
      <c r="D873" s="70">
        <v>-276504.27</v>
      </c>
      <c r="E873" s="14">
        <v>0</v>
      </c>
      <c r="F873" s="14">
        <f>D873+E873</f>
        <v>-276504.27</v>
      </c>
      <c r="G873" s="14">
        <f>H873-F873</f>
        <v>276504.27</v>
      </c>
      <c r="H873" s="14">
        <v>0</v>
      </c>
      <c r="I873" s="14">
        <v>0</v>
      </c>
      <c r="J873" s="14">
        <f>SUM(H873:I873)</f>
        <v>0</v>
      </c>
    </row>
    <row r="874" spans="1:10" ht="10.5" customHeight="1" x14ac:dyDescent="0.2">
      <c r="A874" s="5">
        <f t="shared" si="350"/>
        <v>874</v>
      </c>
      <c r="C874" s="17" t="s">
        <v>570</v>
      </c>
      <c r="D874" s="70">
        <v>-4644.7299999999996</v>
      </c>
      <c r="E874" s="14">
        <v>0</v>
      </c>
      <c r="F874" s="14">
        <f>D874+E874</f>
        <v>-4644.7299999999996</v>
      </c>
      <c r="G874" s="14">
        <f>H874-F874</f>
        <v>4644.7299999999996</v>
      </c>
      <c r="H874" s="14">
        <v>0</v>
      </c>
      <c r="I874" s="14">
        <v>0</v>
      </c>
      <c r="J874" s="14">
        <f>SUM(H874:I874)</f>
        <v>0</v>
      </c>
    </row>
    <row r="875" spans="1:10" ht="10.5" customHeight="1" x14ac:dyDescent="0.2">
      <c r="A875" s="5">
        <f t="shared" si="350"/>
        <v>875</v>
      </c>
      <c r="B875" s="14" t="s">
        <v>593</v>
      </c>
      <c r="D875" s="14">
        <f>SUM(D872:D874)</f>
        <v>186820.16365152309</v>
      </c>
      <c r="E875" s="14">
        <f>SUM(E872:E874)</f>
        <v>-3120.4762799999717</v>
      </c>
      <c r="F875" s="14">
        <f t="shared" ref="F875:G875" si="365">SUM(F872:F874)</f>
        <v>183699.68737152315</v>
      </c>
      <c r="G875" s="14">
        <f t="shared" si="365"/>
        <v>158019.25770062875</v>
      </c>
      <c r="H875" s="14">
        <f>SUM(H872:H874)</f>
        <v>341718.9450721519</v>
      </c>
      <c r="I875" s="14">
        <f>SUM(I872:I874)</f>
        <v>-15593.045606597079</v>
      </c>
      <c r="J875" s="14">
        <f>SUM(J872:J874)</f>
        <v>326125.8994655548</v>
      </c>
    </row>
    <row r="876" spans="1:10" ht="10.5" customHeight="1" x14ac:dyDescent="0.2">
      <c r="A876" s="5">
        <f t="shared" si="350"/>
        <v>876</v>
      </c>
      <c r="B876" s="78" t="s">
        <v>594</v>
      </c>
      <c r="C876" s="30"/>
      <c r="E876" s="14"/>
      <c r="J876" s="14"/>
    </row>
    <row r="877" spans="1:10" ht="10.5" customHeight="1" x14ac:dyDescent="0.2">
      <c r="A877" s="5">
        <f t="shared" si="350"/>
        <v>877</v>
      </c>
      <c r="B877" s="30" t="s">
        <v>302</v>
      </c>
      <c r="C877" s="30"/>
      <c r="E877" s="14"/>
      <c r="J877" s="14"/>
    </row>
    <row r="878" spans="1:10" ht="10.5" customHeight="1" x14ac:dyDescent="0.2">
      <c r="A878" s="5">
        <f t="shared" si="350"/>
        <v>878</v>
      </c>
      <c r="B878" s="30" t="s">
        <v>303</v>
      </c>
      <c r="C878" s="30"/>
      <c r="E878" s="14"/>
      <c r="J878" s="14"/>
    </row>
    <row r="879" spans="1:10" ht="10.5" customHeight="1" x14ac:dyDescent="0.2">
      <c r="A879" s="5">
        <f t="shared" si="350"/>
        <v>879</v>
      </c>
      <c r="B879" s="66" t="s">
        <v>304</v>
      </c>
      <c r="C879" s="30"/>
      <c r="D879" s="14">
        <f>278149.48+449210</f>
        <v>727359.48</v>
      </c>
      <c r="E879" s="14"/>
      <c r="F879" s="14">
        <f>D879+E879</f>
        <v>727359.48</v>
      </c>
      <c r="H879" s="14">
        <f>F879</f>
        <v>727359.48</v>
      </c>
      <c r="J879" s="14">
        <f t="shared" si="362"/>
        <v>727359.48</v>
      </c>
    </row>
    <row r="880" spans="1:10" ht="10.5" customHeight="1" x14ac:dyDescent="0.2">
      <c r="A880" s="5">
        <f t="shared" si="350"/>
        <v>880</v>
      </c>
      <c r="B880" s="66" t="s">
        <v>305</v>
      </c>
      <c r="C880" s="30"/>
      <c r="D880" s="14">
        <f>1042872.55+1712023.91+4295</f>
        <v>2759191.46</v>
      </c>
      <c r="E880" s="14"/>
      <c r="F880" s="14">
        <f>D880+E880</f>
        <v>2759191.46</v>
      </c>
      <c r="H880" s="14">
        <f>F880</f>
        <v>2759191.46</v>
      </c>
      <c r="J880" s="14">
        <f t="shared" si="362"/>
        <v>2759191.46</v>
      </c>
    </row>
    <row r="881" spans="1:10" ht="10.5" customHeight="1" x14ac:dyDescent="0.2">
      <c r="A881" s="5">
        <f t="shared" si="350"/>
        <v>881</v>
      </c>
      <c r="B881" s="66" t="s">
        <v>306</v>
      </c>
      <c r="C881" s="30"/>
      <c r="E881" s="14"/>
      <c r="F881" s="14">
        <f>D881+E881</f>
        <v>0</v>
      </c>
      <c r="J881" s="14">
        <f t="shared" si="362"/>
        <v>0</v>
      </c>
    </row>
    <row r="882" spans="1:10" ht="10.5" customHeight="1" x14ac:dyDescent="0.2">
      <c r="A882" s="5">
        <f t="shared" si="350"/>
        <v>882</v>
      </c>
      <c r="B882" s="62" t="s">
        <v>307</v>
      </c>
      <c r="C882" s="30"/>
      <c r="D882" s="14">
        <f>1284090.43+758061.6</f>
        <v>2042152.0299999998</v>
      </c>
      <c r="E882" s="14"/>
      <c r="F882" s="14">
        <f>D882+E882</f>
        <v>2042152.0299999998</v>
      </c>
      <c r="H882" s="14">
        <f t="shared" ref="H882:H883" si="366">F882</f>
        <v>2042152.0299999998</v>
      </c>
      <c r="J882" s="14">
        <f t="shared" si="362"/>
        <v>2042152.0299999998</v>
      </c>
    </row>
    <row r="883" spans="1:10" ht="10.5" customHeight="1" x14ac:dyDescent="0.2">
      <c r="A883" s="5">
        <f t="shared" si="350"/>
        <v>883</v>
      </c>
      <c r="B883" s="62" t="s">
        <v>193</v>
      </c>
      <c r="C883" s="30"/>
      <c r="D883" s="14">
        <v>0</v>
      </c>
      <c r="E883" s="14"/>
      <c r="F883" s="14">
        <f>D883+E883</f>
        <v>0</v>
      </c>
      <c r="H883" s="14">
        <f t="shared" si="366"/>
        <v>0</v>
      </c>
      <c r="J883" s="14">
        <f t="shared" si="362"/>
        <v>0</v>
      </c>
    </row>
    <row r="884" spans="1:10" ht="10.5" customHeight="1" x14ac:dyDescent="0.2">
      <c r="A884" s="5">
        <f t="shared" si="350"/>
        <v>884</v>
      </c>
      <c r="B884" s="30" t="s">
        <v>66</v>
      </c>
      <c r="C884" s="30"/>
      <c r="E884" s="14"/>
      <c r="H884" s="14">
        <f>SUM(H882:H883)</f>
        <v>2042152.0299999998</v>
      </c>
      <c r="J884" s="14">
        <f t="shared" si="362"/>
        <v>2042152.0299999998</v>
      </c>
    </row>
    <row r="885" spans="1:10" ht="10.5" customHeight="1" x14ac:dyDescent="0.2">
      <c r="A885" s="5">
        <f t="shared" si="350"/>
        <v>885</v>
      </c>
      <c r="B885" s="66" t="s">
        <v>309</v>
      </c>
      <c r="C885" s="30"/>
      <c r="E885" s="14"/>
      <c r="F885" s="14">
        <f>D885+E885</f>
        <v>0</v>
      </c>
      <c r="J885" s="14">
        <f>SUM(H885:I885)</f>
        <v>0</v>
      </c>
    </row>
    <row r="886" spans="1:10" ht="10.5" customHeight="1" x14ac:dyDescent="0.2">
      <c r="A886" s="5">
        <f t="shared" si="350"/>
        <v>886</v>
      </c>
      <c r="B886" s="62" t="s">
        <v>307</v>
      </c>
      <c r="C886" s="30"/>
      <c r="D886" s="14">
        <v>979343.72</v>
      </c>
      <c r="E886" s="14"/>
      <c r="F886" s="14">
        <f>D886+E886</f>
        <v>979343.72</v>
      </c>
      <c r="H886" s="14">
        <f t="shared" ref="H886:H890" si="367">F886</f>
        <v>979343.72</v>
      </c>
      <c r="J886" s="14">
        <f>SUM(H886:I886)</f>
        <v>979343.72</v>
      </c>
    </row>
    <row r="887" spans="1:10" ht="10.5" customHeight="1" x14ac:dyDescent="0.2">
      <c r="A887" s="5">
        <f t="shared" si="350"/>
        <v>887</v>
      </c>
      <c r="B887" s="62" t="s">
        <v>193</v>
      </c>
      <c r="C887" s="30"/>
      <c r="D887" s="14">
        <v>0</v>
      </c>
      <c r="E887" s="14"/>
      <c r="F887" s="14">
        <f>D887+E887</f>
        <v>0</v>
      </c>
      <c r="H887" s="14">
        <f t="shared" si="367"/>
        <v>0</v>
      </c>
      <c r="J887" s="14">
        <f>SUM(H887:I887)</f>
        <v>0</v>
      </c>
    </row>
    <row r="888" spans="1:10" ht="10.5" customHeight="1" x14ac:dyDescent="0.2">
      <c r="A888" s="5">
        <f t="shared" si="350"/>
        <v>888</v>
      </c>
      <c r="B888" s="30" t="s">
        <v>66</v>
      </c>
      <c r="C888" s="30"/>
      <c r="E888" s="14"/>
      <c r="H888" s="14">
        <f>SUM(H886:H887)</f>
        <v>979343.72</v>
      </c>
      <c r="J888" s="14">
        <f>SUM(H888:I888)</f>
        <v>979343.72</v>
      </c>
    </row>
    <row r="889" spans="1:10" ht="10.5" customHeight="1" x14ac:dyDescent="0.2">
      <c r="A889" s="5">
        <f t="shared" si="350"/>
        <v>889</v>
      </c>
      <c r="B889" s="66" t="s">
        <v>311</v>
      </c>
      <c r="C889" s="30"/>
      <c r="D889" s="14">
        <f>150643.6+3029669.19+5208</f>
        <v>3185520.79</v>
      </c>
      <c r="E889" s="14"/>
      <c r="F889" s="14">
        <f t="shared" ref="F889:F898" si="368">D889+E889</f>
        <v>3185520.79</v>
      </c>
      <c r="H889" s="14">
        <f t="shared" si="367"/>
        <v>3185520.79</v>
      </c>
      <c r="J889" s="14">
        <f t="shared" ref="J889:J899" si="369">SUM(H889:I889)</f>
        <v>3185520.79</v>
      </c>
    </row>
    <row r="890" spans="1:10" ht="10.5" customHeight="1" x14ac:dyDescent="0.2">
      <c r="A890" s="5">
        <f t="shared" si="350"/>
        <v>890</v>
      </c>
      <c r="B890" s="66" t="s">
        <v>312</v>
      </c>
      <c r="C890" s="30"/>
      <c r="D890" s="14">
        <v>1E-14</v>
      </c>
      <c r="E890" s="14"/>
      <c r="F890" s="14">
        <f t="shared" si="368"/>
        <v>1E-14</v>
      </c>
      <c r="H890" s="14">
        <f t="shared" si="367"/>
        <v>1E-14</v>
      </c>
      <c r="J890" s="14">
        <f t="shared" si="369"/>
        <v>1E-14</v>
      </c>
    </row>
    <row r="891" spans="1:10" ht="10.15" customHeight="1" x14ac:dyDescent="0.2">
      <c r="A891" s="5">
        <f t="shared" si="350"/>
        <v>891</v>
      </c>
      <c r="B891" s="30" t="s">
        <v>66</v>
      </c>
      <c r="C891" s="66" t="s">
        <v>313</v>
      </c>
      <c r="D891" s="14">
        <f>SUM(D879:D890)</f>
        <v>9693567.4800000004</v>
      </c>
      <c r="E891" s="14"/>
      <c r="F891" s="14">
        <f t="shared" si="368"/>
        <v>9693567.4800000004</v>
      </c>
      <c r="H891" s="14">
        <f>SUM(H879:H880)+H884+H888+H889+H890</f>
        <v>9693567.4800000004</v>
      </c>
      <c r="J891" s="14">
        <f t="shared" si="369"/>
        <v>9693567.4800000004</v>
      </c>
    </row>
    <row r="892" spans="1:10" ht="10.5" customHeight="1" x14ac:dyDescent="0.2">
      <c r="A892" s="5">
        <f t="shared" si="350"/>
        <v>892</v>
      </c>
      <c r="B892" s="30" t="s">
        <v>41</v>
      </c>
      <c r="C892" s="30"/>
      <c r="E892" s="14"/>
      <c r="J892" s="14"/>
    </row>
    <row r="893" spans="1:10" ht="10.5" customHeight="1" x14ac:dyDescent="0.2">
      <c r="A893" s="5">
        <f t="shared" si="350"/>
        <v>893</v>
      </c>
      <c r="B893" s="30" t="s">
        <v>314</v>
      </c>
      <c r="C893" s="30"/>
      <c r="E893" s="14"/>
      <c r="J893" s="14"/>
    </row>
    <row r="894" spans="1:10" ht="10.5" customHeight="1" x14ac:dyDescent="0.2">
      <c r="A894" s="5">
        <f t="shared" si="350"/>
        <v>894</v>
      </c>
      <c r="B894" s="66" t="s">
        <v>315</v>
      </c>
      <c r="C894" s="30"/>
      <c r="D894" s="14">
        <v>0</v>
      </c>
      <c r="E894" s="14"/>
      <c r="F894" s="14">
        <f t="shared" si="368"/>
        <v>0</v>
      </c>
      <c r="H894" s="14">
        <f>F894</f>
        <v>0</v>
      </c>
      <c r="J894" s="14">
        <f t="shared" si="369"/>
        <v>0</v>
      </c>
    </row>
    <row r="895" spans="1:10" ht="10.5" customHeight="1" x14ac:dyDescent="0.2">
      <c r="A895" s="5">
        <f t="shared" si="350"/>
        <v>895</v>
      </c>
      <c r="B895" s="66" t="s">
        <v>316</v>
      </c>
      <c r="C895" s="30"/>
      <c r="D895" s="14">
        <v>-1834.7100000000003</v>
      </c>
      <c r="E895" s="14"/>
      <c r="F895" s="14">
        <f t="shared" si="368"/>
        <v>-1834.7100000000003</v>
      </c>
      <c r="H895" s="14">
        <f>F895</f>
        <v>-1834.7100000000003</v>
      </c>
      <c r="J895" s="14">
        <f t="shared" si="369"/>
        <v>-1834.7100000000003</v>
      </c>
    </row>
    <row r="896" spans="1:10" ht="10.5" customHeight="1" x14ac:dyDescent="0.2">
      <c r="A896" s="5">
        <f t="shared" si="350"/>
        <v>896</v>
      </c>
      <c r="B896" s="66" t="s">
        <v>317</v>
      </c>
      <c r="C896" s="30"/>
      <c r="E896" s="14"/>
      <c r="F896" s="14">
        <f t="shared" si="368"/>
        <v>0</v>
      </c>
      <c r="J896" s="14">
        <f t="shared" si="369"/>
        <v>0</v>
      </c>
    </row>
    <row r="897" spans="1:10" ht="10.5" customHeight="1" x14ac:dyDescent="0.2">
      <c r="A897" s="5">
        <f t="shared" si="350"/>
        <v>897</v>
      </c>
      <c r="B897" s="62" t="s">
        <v>307</v>
      </c>
      <c r="C897" s="30"/>
      <c r="D897" s="14">
        <f>360495.71+2978091.21</f>
        <v>3338586.92</v>
      </c>
      <c r="E897" s="14"/>
      <c r="F897" s="14">
        <f t="shared" si="368"/>
        <v>3338586.92</v>
      </c>
      <c r="H897" s="14">
        <f>F897</f>
        <v>3338586.92</v>
      </c>
      <c r="J897" s="14">
        <f t="shared" si="369"/>
        <v>3338586.92</v>
      </c>
    </row>
    <row r="898" spans="1:10" ht="10.5" customHeight="1" x14ac:dyDescent="0.2">
      <c r="A898" s="5">
        <f t="shared" si="350"/>
        <v>898</v>
      </c>
      <c r="B898" s="62" t="s">
        <v>193</v>
      </c>
      <c r="C898" s="30"/>
      <c r="D898" s="14">
        <v>0</v>
      </c>
      <c r="E898" s="14"/>
      <c r="F898" s="14">
        <f t="shared" si="368"/>
        <v>0</v>
      </c>
      <c r="H898" s="14">
        <f>F898</f>
        <v>0</v>
      </c>
      <c r="J898" s="14">
        <f t="shared" si="369"/>
        <v>0</v>
      </c>
    </row>
    <row r="899" spans="1:10" ht="10.5" customHeight="1" x14ac:dyDescent="0.2">
      <c r="A899" s="5">
        <f t="shared" si="350"/>
        <v>899</v>
      </c>
      <c r="B899" s="30" t="s">
        <v>66</v>
      </c>
      <c r="C899" s="30" t="s">
        <v>318</v>
      </c>
      <c r="E899" s="14"/>
      <c r="H899" s="14">
        <f>SUM(H897:H898)</f>
        <v>3338586.92</v>
      </c>
      <c r="J899" s="14">
        <f t="shared" si="369"/>
        <v>3338586.92</v>
      </c>
    </row>
    <row r="900" spans="1:10" ht="10.5" customHeight="1" x14ac:dyDescent="0.2">
      <c r="A900" s="5">
        <f t="shared" si="350"/>
        <v>900</v>
      </c>
      <c r="B900" s="66" t="s">
        <v>319</v>
      </c>
      <c r="C900" s="30"/>
      <c r="E900" s="14"/>
      <c r="F900" s="14">
        <f>D900+E900</f>
        <v>0</v>
      </c>
      <c r="J900" s="14">
        <f>SUM(H900:I900)</f>
        <v>0</v>
      </c>
    </row>
    <row r="901" spans="1:10" ht="10.5" customHeight="1" x14ac:dyDescent="0.2">
      <c r="A901" s="5">
        <f t="shared" si="350"/>
        <v>901</v>
      </c>
      <c r="B901" s="62" t="s">
        <v>307</v>
      </c>
      <c r="C901" s="30"/>
      <c r="D901" s="14">
        <f>45756.98+1426671.32</f>
        <v>1472428.3</v>
      </c>
      <c r="E901" s="14"/>
      <c r="F901" s="14">
        <f>D901+E901</f>
        <v>1472428.3</v>
      </c>
      <c r="H901" s="14">
        <f>F901</f>
        <v>1472428.3</v>
      </c>
      <c r="J901" s="14">
        <f>SUM(H901:I901)</f>
        <v>1472428.3</v>
      </c>
    </row>
    <row r="902" spans="1:10" ht="10.5" customHeight="1" x14ac:dyDescent="0.2">
      <c r="A902" s="5">
        <f t="shared" si="350"/>
        <v>902</v>
      </c>
      <c r="B902" s="62" t="s">
        <v>193</v>
      </c>
      <c r="C902" s="30"/>
      <c r="D902" s="14">
        <v>0</v>
      </c>
      <c r="E902" s="14"/>
      <c r="F902" s="14">
        <f>D902+E902</f>
        <v>0</v>
      </c>
      <c r="H902" s="14">
        <f>F902</f>
        <v>0</v>
      </c>
      <c r="J902" s="14">
        <f>SUM(H902:I902)</f>
        <v>0</v>
      </c>
    </row>
    <row r="903" spans="1:10" ht="10.5" customHeight="1" x14ac:dyDescent="0.2">
      <c r="A903" s="5">
        <f t="shared" si="350"/>
        <v>903</v>
      </c>
      <c r="B903" s="30" t="s">
        <v>66</v>
      </c>
      <c r="C903" s="30" t="s">
        <v>320</v>
      </c>
      <c r="E903" s="14"/>
      <c r="H903" s="14">
        <f>SUM(H901:H902)</f>
        <v>1472428.3</v>
      </c>
      <c r="J903" s="14">
        <f>SUM(H903:I903)</f>
        <v>1472428.3</v>
      </c>
    </row>
    <row r="904" spans="1:10" ht="10.5" customHeight="1" x14ac:dyDescent="0.2">
      <c r="A904" s="5">
        <f t="shared" si="350"/>
        <v>904</v>
      </c>
      <c r="B904" s="66" t="s">
        <v>321</v>
      </c>
      <c r="C904" s="30"/>
      <c r="D904" s="14">
        <f>69472.17+2082099.61</f>
        <v>2151571.7800000003</v>
      </c>
      <c r="E904" s="14"/>
      <c r="F904" s="14">
        <f t="shared" ref="F904:F932" si="370">D904+E904</f>
        <v>2151571.7800000003</v>
      </c>
      <c r="H904" s="14">
        <f>F904</f>
        <v>2151571.7800000003</v>
      </c>
      <c r="J904" s="14">
        <f>SUM(H904:I904)</f>
        <v>2151571.7800000003</v>
      </c>
    </row>
    <row r="905" spans="1:10" ht="10.5" customHeight="1" x14ac:dyDescent="0.2">
      <c r="A905" s="5">
        <f t="shared" si="350"/>
        <v>905</v>
      </c>
      <c r="B905" s="30" t="s">
        <v>66</v>
      </c>
      <c r="C905" s="66" t="s">
        <v>322</v>
      </c>
      <c r="D905" s="14">
        <f>SUM(D894:D904)</f>
        <v>6960752.29</v>
      </c>
      <c r="E905" s="14"/>
      <c r="F905" s="14">
        <f t="shared" si="370"/>
        <v>6960752.29</v>
      </c>
      <c r="H905" s="14">
        <f>F905</f>
        <v>6960752.29</v>
      </c>
      <c r="J905" s="14">
        <f t="shared" ref="J905:J932" si="371">SUM(H905:I905)</f>
        <v>6960752.29</v>
      </c>
    </row>
    <row r="906" spans="1:10" ht="10.5" customHeight="1" x14ac:dyDescent="0.2">
      <c r="A906" s="5">
        <f t="shared" si="350"/>
        <v>906</v>
      </c>
      <c r="B906" s="30" t="s">
        <v>66</v>
      </c>
      <c r="C906" s="30" t="s">
        <v>323</v>
      </c>
      <c r="D906" s="14">
        <f>D891+D905</f>
        <v>16654319.77</v>
      </c>
      <c r="E906" s="14"/>
      <c r="F906" s="14">
        <f t="shared" si="370"/>
        <v>16654319.77</v>
      </c>
      <c r="H906" s="14">
        <f>H891+H905</f>
        <v>16654319.77</v>
      </c>
      <c r="I906" s="14">
        <f>I891+I905</f>
        <v>0</v>
      </c>
      <c r="J906" s="14">
        <f t="shared" si="371"/>
        <v>16654319.77</v>
      </c>
    </row>
    <row r="907" spans="1:10" ht="10.5" customHeight="1" x14ac:dyDescent="0.2">
      <c r="A907" s="5">
        <f t="shared" si="350"/>
        <v>907</v>
      </c>
      <c r="B907" s="30" t="s">
        <v>66</v>
      </c>
      <c r="C907" s="30" t="s">
        <v>66</v>
      </c>
      <c r="E907" s="14"/>
      <c r="J907" s="14"/>
    </row>
    <row r="908" spans="1:10" ht="10.5" customHeight="1" x14ac:dyDescent="0.2">
      <c r="A908" s="5">
        <f t="shared" ref="A908:A971" si="372">A907+1</f>
        <v>908</v>
      </c>
      <c r="B908" s="78" t="str">
        <f>B876</f>
        <v>TABLE 13-DEVELOPMENT OF LABOR RELATED ALLOCATOR</v>
      </c>
      <c r="C908" s="30"/>
      <c r="E908" s="14"/>
      <c r="J908" s="14"/>
    </row>
    <row r="909" spans="1:10" ht="10.5" customHeight="1" x14ac:dyDescent="0.2">
      <c r="A909" s="5">
        <f t="shared" si="372"/>
        <v>909</v>
      </c>
      <c r="B909" s="30" t="s">
        <v>324</v>
      </c>
      <c r="C909" s="30"/>
      <c r="E909" s="14"/>
      <c r="J909" s="14"/>
    </row>
    <row r="910" spans="1:10" ht="10.5" customHeight="1" x14ac:dyDescent="0.2">
      <c r="A910" s="5">
        <f t="shared" si="372"/>
        <v>910</v>
      </c>
      <c r="B910" s="30" t="s">
        <v>303</v>
      </c>
      <c r="C910" s="30"/>
      <c r="E910" s="14"/>
      <c r="J910" s="14"/>
    </row>
    <row r="911" spans="1:10" ht="10.5" customHeight="1" x14ac:dyDescent="0.2">
      <c r="A911" s="5">
        <f t="shared" si="372"/>
        <v>911</v>
      </c>
      <c r="B911" s="66" t="s">
        <v>325</v>
      </c>
      <c r="C911" s="30"/>
      <c r="D911" s="17">
        <v>4877607.4000000004</v>
      </c>
      <c r="E911" s="14"/>
      <c r="F911" s="14">
        <f>D911+E911</f>
        <v>4877607.4000000004</v>
      </c>
      <c r="H911" s="14">
        <f>F911</f>
        <v>4877607.4000000004</v>
      </c>
      <c r="J911" s="14">
        <f t="shared" si="371"/>
        <v>4877607.4000000004</v>
      </c>
    </row>
    <row r="912" spans="1:10" ht="10.5" customHeight="1" x14ac:dyDescent="0.2">
      <c r="A912" s="5">
        <f t="shared" si="372"/>
        <v>912</v>
      </c>
      <c r="B912" s="66" t="s">
        <v>326</v>
      </c>
      <c r="C912" s="30"/>
      <c r="D912" s="17">
        <v>691961.62</v>
      </c>
      <c r="E912" s="14"/>
      <c r="F912" s="14">
        <f t="shared" si="370"/>
        <v>691961.62</v>
      </c>
      <c r="H912" s="14">
        <f>F912</f>
        <v>691961.62</v>
      </c>
      <c r="J912" s="14">
        <f t="shared" si="371"/>
        <v>691961.62</v>
      </c>
    </row>
    <row r="913" spans="1:10" ht="10.5" customHeight="1" x14ac:dyDescent="0.2">
      <c r="A913" s="5">
        <f t="shared" si="372"/>
        <v>913</v>
      </c>
      <c r="B913" s="66" t="s">
        <v>330</v>
      </c>
      <c r="C913" s="30"/>
      <c r="D913" s="17">
        <v>7716042.6799999997</v>
      </c>
      <c r="E913" s="14"/>
      <c r="F913" s="14">
        <f t="shared" si="370"/>
        <v>7716042.6799999997</v>
      </c>
      <c r="H913" s="14">
        <f>F913</f>
        <v>7716042.6799999997</v>
      </c>
      <c r="J913" s="14">
        <f t="shared" si="371"/>
        <v>7716042.6799999997</v>
      </c>
    </row>
    <row r="914" spans="1:10" ht="10.5" customHeight="1" x14ac:dyDescent="0.2">
      <c r="A914" s="5">
        <f t="shared" si="372"/>
        <v>914</v>
      </c>
      <c r="B914" s="66" t="s">
        <v>331</v>
      </c>
      <c r="C914" s="30"/>
      <c r="E914" s="14"/>
      <c r="J914" s="14"/>
    </row>
    <row r="915" spans="1:10" ht="10.5" customHeight="1" x14ac:dyDescent="0.2">
      <c r="A915" s="5">
        <f t="shared" si="372"/>
        <v>915</v>
      </c>
      <c r="B915" s="62" t="s">
        <v>307</v>
      </c>
      <c r="C915" s="30"/>
      <c r="D915" s="17">
        <v>1762303.48</v>
      </c>
      <c r="E915" s="14"/>
      <c r="F915" s="14">
        <f t="shared" si="370"/>
        <v>1762303.48</v>
      </c>
      <c r="H915" s="14">
        <f>F915</f>
        <v>1762303.48</v>
      </c>
      <c r="J915" s="14">
        <f t="shared" si="371"/>
        <v>1762303.48</v>
      </c>
    </row>
    <row r="916" spans="1:10" ht="10.15" customHeight="1" x14ac:dyDescent="0.2">
      <c r="A916" s="5">
        <f t="shared" si="372"/>
        <v>916</v>
      </c>
      <c r="B916" s="62" t="s">
        <v>193</v>
      </c>
      <c r="C916" s="30"/>
      <c r="D916" s="14">
        <v>0</v>
      </c>
      <c r="E916" s="14"/>
      <c r="F916" s="14">
        <f t="shared" si="370"/>
        <v>0</v>
      </c>
      <c r="H916" s="14">
        <f>F916</f>
        <v>0</v>
      </c>
      <c r="J916" s="14">
        <f t="shared" si="371"/>
        <v>0</v>
      </c>
    </row>
    <row r="917" spans="1:10" ht="10.5" customHeight="1" x14ac:dyDescent="0.2">
      <c r="A917" s="5">
        <f t="shared" si="372"/>
        <v>917</v>
      </c>
      <c r="B917" s="30" t="s">
        <v>66</v>
      </c>
      <c r="C917" s="30" t="s">
        <v>332</v>
      </c>
      <c r="D917" s="14">
        <f>SUM(D915:D916)</f>
        <v>1762303.48</v>
      </c>
      <c r="E917" s="14"/>
      <c r="F917" s="14">
        <f>D917+E917</f>
        <v>1762303.48</v>
      </c>
      <c r="H917" s="14">
        <f>SUM(H915:H916)</f>
        <v>1762303.48</v>
      </c>
      <c r="J917" s="14">
        <f t="shared" si="371"/>
        <v>1762303.48</v>
      </c>
    </row>
    <row r="918" spans="1:10" ht="10.5" customHeight="1" x14ac:dyDescent="0.2">
      <c r="A918" s="5">
        <f t="shared" si="372"/>
        <v>918</v>
      </c>
      <c r="B918" s="66" t="s">
        <v>333</v>
      </c>
      <c r="C918" s="30"/>
      <c r="D918" s="17">
        <v>4313693.3</v>
      </c>
      <c r="E918" s="14"/>
      <c r="F918" s="14">
        <f t="shared" si="370"/>
        <v>4313693.3</v>
      </c>
      <c r="H918" s="14">
        <f>F918</f>
        <v>4313693.3</v>
      </c>
      <c r="J918" s="14">
        <f t="shared" si="371"/>
        <v>4313693.3</v>
      </c>
    </row>
    <row r="919" spans="1:10" ht="10.5" customHeight="1" x14ac:dyDescent="0.2">
      <c r="A919" s="5">
        <f t="shared" si="372"/>
        <v>919</v>
      </c>
      <c r="B919" s="66" t="s">
        <v>334</v>
      </c>
      <c r="C919" s="30"/>
      <c r="D919" s="70">
        <v>0</v>
      </c>
      <c r="E919" s="14"/>
      <c r="F919" s="14">
        <f t="shared" si="370"/>
        <v>0</v>
      </c>
      <c r="H919" s="14">
        <f>F919</f>
        <v>0</v>
      </c>
      <c r="J919" s="14">
        <f t="shared" si="371"/>
        <v>0</v>
      </c>
    </row>
    <row r="920" spans="1:10" ht="10.5" customHeight="1" x14ac:dyDescent="0.2">
      <c r="A920" s="5">
        <f t="shared" si="372"/>
        <v>920</v>
      </c>
      <c r="B920" s="30" t="s">
        <v>66</v>
      </c>
      <c r="C920" s="66" t="s">
        <v>335</v>
      </c>
      <c r="D920" s="14">
        <f>SUM(D911:D913)+D915+D918</f>
        <v>19361608.48</v>
      </c>
      <c r="E920" s="14"/>
      <c r="F920" s="14">
        <f t="shared" si="370"/>
        <v>19361608.48</v>
      </c>
      <c r="H920" s="14">
        <f>SUM(H911:H913)+H917+H918+H919</f>
        <v>19361608.48</v>
      </c>
      <c r="J920" s="14">
        <f t="shared" si="371"/>
        <v>19361608.48</v>
      </c>
    </row>
    <row r="921" spans="1:10" ht="10.5" customHeight="1" x14ac:dyDescent="0.2">
      <c r="A921" s="5">
        <f t="shared" si="372"/>
        <v>921</v>
      </c>
      <c r="B921" s="30" t="s">
        <v>41</v>
      </c>
      <c r="C921" s="30" t="s">
        <v>41</v>
      </c>
      <c r="E921" s="14"/>
      <c r="J921" s="14"/>
    </row>
    <row r="922" spans="1:10" ht="10.5" customHeight="1" x14ac:dyDescent="0.2">
      <c r="A922" s="5">
        <f t="shared" si="372"/>
        <v>922</v>
      </c>
      <c r="B922" s="30" t="s">
        <v>314</v>
      </c>
      <c r="C922" s="30"/>
      <c r="E922" s="14"/>
      <c r="J922" s="14"/>
    </row>
    <row r="923" spans="1:10" ht="10.5" customHeight="1" x14ac:dyDescent="0.2">
      <c r="A923" s="5">
        <f t="shared" si="372"/>
        <v>923</v>
      </c>
      <c r="B923" s="66" t="s">
        <v>336</v>
      </c>
      <c r="C923" s="30"/>
      <c r="D923" s="17">
        <v>154757.26</v>
      </c>
      <c r="E923" s="14"/>
      <c r="F923" s="14">
        <f t="shared" si="370"/>
        <v>154757.26</v>
      </c>
      <c r="H923" s="14">
        <f>F923</f>
        <v>154757.26</v>
      </c>
      <c r="J923" s="14">
        <f t="shared" si="371"/>
        <v>154757.26</v>
      </c>
    </row>
    <row r="924" spans="1:10" ht="10.5" customHeight="1" x14ac:dyDescent="0.2">
      <c r="A924" s="5">
        <f t="shared" si="372"/>
        <v>924</v>
      </c>
      <c r="B924" s="66" t="s">
        <v>337</v>
      </c>
      <c r="C924" s="30"/>
      <c r="D924" s="17">
        <v>676032.31</v>
      </c>
      <c r="E924" s="14"/>
      <c r="F924" s="14">
        <f t="shared" si="370"/>
        <v>676032.31</v>
      </c>
      <c r="H924" s="14">
        <f>F924</f>
        <v>676032.31</v>
      </c>
      <c r="J924" s="14">
        <f t="shared" si="371"/>
        <v>676032.31</v>
      </c>
    </row>
    <row r="925" spans="1:10" ht="10.5" customHeight="1" x14ac:dyDescent="0.2">
      <c r="A925" s="5">
        <f t="shared" si="372"/>
        <v>925</v>
      </c>
      <c r="B925" s="66" t="s">
        <v>338</v>
      </c>
      <c r="C925" s="30"/>
      <c r="D925" s="17">
        <v>416249.45</v>
      </c>
      <c r="E925" s="14"/>
      <c r="F925" s="14">
        <f t="shared" si="370"/>
        <v>416249.45</v>
      </c>
      <c r="H925" s="14">
        <f>F925</f>
        <v>416249.45</v>
      </c>
      <c r="J925" s="14">
        <f t="shared" si="371"/>
        <v>416249.45</v>
      </c>
    </row>
    <row r="926" spans="1:10" ht="10.5" customHeight="1" x14ac:dyDescent="0.2">
      <c r="A926" s="5">
        <f t="shared" si="372"/>
        <v>926</v>
      </c>
      <c r="B926" s="66" t="s">
        <v>339</v>
      </c>
      <c r="C926" s="30"/>
      <c r="E926" s="14"/>
      <c r="F926" s="14">
        <f t="shared" si="370"/>
        <v>0</v>
      </c>
      <c r="J926" s="14">
        <f t="shared" si="371"/>
        <v>0</v>
      </c>
    </row>
    <row r="927" spans="1:10" ht="10.5" customHeight="1" x14ac:dyDescent="0.2">
      <c r="A927" s="5">
        <f t="shared" si="372"/>
        <v>927</v>
      </c>
      <c r="B927" s="62" t="s">
        <v>307</v>
      </c>
      <c r="C927" s="30"/>
      <c r="D927" s="17">
        <v>2318408.64</v>
      </c>
      <c r="E927" s="14"/>
      <c r="F927" s="14">
        <f t="shared" si="370"/>
        <v>2318408.64</v>
      </c>
      <c r="H927" s="14">
        <f>F927</f>
        <v>2318408.64</v>
      </c>
      <c r="J927" s="14">
        <f t="shared" si="371"/>
        <v>2318408.64</v>
      </c>
    </row>
    <row r="928" spans="1:10" ht="10.5" customHeight="1" x14ac:dyDescent="0.2">
      <c r="A928" s="5">
        <f t="shared" si="372"/>
        <v>928</v>
      </c>
      <c r="B928" s="62" t="s">
        <v>193</v>
      </c>
      <c r="C928" s="30"/>
      <c r="D928" s="14">
        <v>0</v>
      </c>
      <c r="E928" s="14"/>
      <c r="F928" s="14">
        <f t="shared" si="370"/>
        <v>0</v>
      </c>
      <c r="H928" s="14">
        <f>F928</f>
        <v>0</v>
      </c>
      <c r="J928" s="14">
        <f t="shared" si="371"/>
        <v>0</v>
      </c>
    </row>
    <row r="929" spans="1:10" ht="10.5" customHeight="1" x14ac:dyDescent="0.2">
      <c r="A929" s="5">
        <f t="shared" si="372"/>
        <v>929</v>
      </c>
      <c r="B929" s="30" t="s">
        <v>66</v>
      </c>
      <c r="C929" s="30" t="s">
        <v>340</v>
      </c>
      <c r="D929" s="14">
        <f>SUM(D927:D928)</f>
        <v>2318408.64</v>
      </c>
      <c r="E929" s="14"/>
      <c r="F929" s="14">
        <f t="shared" si="370"/>
        <v>2318408.64</v>
      </c>
      <c r="H929" s="14">
        <f>SUM(H927:H928)</f>
        <v>2318408.64</v>
      </c>
      <c r="J929" s="14">
        <f t="shared" si="371"/>
        <v>2318408.64</v>
      </c>
    </row>
    <row r="930" spans="1:10" ht="10.5" customHeight="1" x14ac:dyDescent="0.2">
      <c r="A930" s="5">
        <f t="shared" si="372"/>
        <v>930</v>
      </c>
      <c r="B930" s="66" t="s">
        <v>341</v>
      </c>
      <c r="C930" s="30"/>
      <c r="D930" s="17">
        <v>3040245.14</v>
      </c>
      <c r="E930" s="14"/>
      <c r="F930" s="14">
        <f t="shared" si="370"/>
        <v>3040245.14</v>
      </c>
      <c r="H930" s="14">
        <f>F930</f>
        <v>3040245.14</v>
      </c>
      <c r="J930" s="14">
        <f t="shared" si="371"/>
        <v>3040245.14</v>
      </c>
    </row>
    <row r="931" spans="1:10" ht="10.5" customHeight="1" x14ac:dyDescent="0.2">
      <c r="A931" s="5">
        <f t="shared" si="372"/>
        <v>931</v>
      </c>
      <c r="B931" s="30" t="s">
        <v>66</v>
      </c>
      <c r="C931" s="66" t="s">
        <v>342</v>
      </c>
      <c r="D931" s="14">
        <f>SUM(D923:D925,D929:D930)</f>
        <v>6605692.8000000007</v>
      </c>
      <c r="E931" s="14"/>
      <c r="F931" s="14">
        <f t="shared" si="370"/>
        <v>6605692.8000000007</v>
      </c>
      <c r="H931" s="14">
        <f>SUM(H923:H925,H929:H930)</f>
        <v>6605692.8000000007</v>
      </c>
      <c r="J931" s="14">
        <f t="shared" si="371"/>
        <v>6605692.8000000007</v>
      </c>
    </row>
    <row r="932" spans="1:10" ht="10.5" customHeight="1" x14ac:dyDescent="0.2">
      <c r="A932" s="5">
        <f t="shared" si="372"/>
        <v>932</v>
      </c>
      <c r="B932" s="30" t="s">
        <v>66</v>
      </c>
      <c r="C932" s="30" t="s">
        <v>343</v>
      </c>
      <c r="D932" s="14">
        <f>SUM(D920,D931)</f>
        <v>25967301.280000001</v>
      </c>
      <c r="E932" s="14"/>
      <c r="F932" s="14">
        <f t="shared" si="370"/>
        <v>25967301.280000001</v>
      </c>
      <c r="H932" s="14">
        <f>SUM(H920,H931)</f>
        <v>25967301.280000001</v>
      </c>
      <c r="J932" s="14">
        <f t="shared" si="371"/>
        <v>25967301.280000001</v>
      </c>
    </row>
    <row r="933" spans="1:10" ht="10.5" customHeight="1" x14ac:dyDescent="0.2">
      <c r="A933" s="5">
        <f t="shared" si="372"/>
        <v>933</v>
      </c>
      <c r="B933" s="78" t="str">
        <f>B876</f>
        <v>TABLE 13-DEVELOPMENT OF LABOR RELATED ALLOCATOR</v>
      </c>
      <c r="C933" s="30"/>
      <c r="E933" s="14"/>
      <c r="J933" s="14"/>
    </row>
    <row r="934" spans="1:10" ht="10.5" customHeight="1" x14ac:dyDescent="0.2">
      <c r="A934" s="5">
        <f t="shared" si="372"/>
        <v>934</v>
      </c>
      <c r="B934" s="30" t="s">
        <v>344</v>
      </c>
      <c r="C934" s="30"/>
      <c r="E934" s="14"/>
      <c r="J934" s="14"/>
    </row>
    <row r="935" spans="1:10" ht="10.5" customHeight="1" x14ac:dyDescent="0.2">
      <c r="A935" s="5">
        <f t="shared" si="372"/>
        <v>935</v>
      </c>
      <c r="B935" s="30" t="s">
        <v>303</v>
      </c>
      <c r="C935" s="30"/>
      <c r="E935" s="14"/>
      <c r="J935" s="14"/>
    </row>
    <row r="936" spans="1:10" ht="10.5" customHeight="1" x14ac:dyDescent="0.2">
      <c r="A936" s="5">
        <f t="shared" si="372"/>
        <v>936</v>
      </c>
      <c r="B936" s="66" t="s">
        <v>345</v>
      </c>
      <c r="C936" s="30"/>
      <c r="D936" s="17">
        <v>528252.79</v>
      </c>
      <c r="E936" s="14"/>
      <c r="F936" s="14">
        <f t="shared" ref="F936:F961" si="373">D936+E936</f>
        <v>528252.79</v>
      </c>
      <c r="H936" s="14">
        <f>F936</f>
        <v>528252.79</v>
      </c>
      <c r="J936" s="14">
        <f t="shared" ref="J936:J961" si="374">SUM(H936:I936)</f>
        <v>528252.79</v>
      </c>
    </row>
    <row r="937" spans="1:10" ht="10.5" customHeight="1" x14ac:dyDescent="0.2">
      <c r="A937" s="5">
        <f t="shared" si="372"/>
        <v>937</v>
      </c>
      <c r="B937" s="66" t="s">
        <v>346</v>
      </c>
      <c r="C937" s="30"/>
      <c r="D937" s="14">
        <v>0</v>
      </c>
      <c r="E937" s="14"/>
      <c r="F937" s="14">
        <f t="shared" si="373"/>
        <v>0</v>
      </c>
      <c r="H937" s="14">
        <f>F937</f>
        <v>0</v>
      </c>
      <c r="J937" s="14">
        <f t="shared" si="374"/>
        <v>0</v>
      </c>
    </row>
    <row r="938" spans="1:10" ht="10.5" customHeight="1" x14ac:dyDescent="0.2">
      <c r="A938" s="5">
        <f t="shared" si="372"/>
        <v>938</v>
      </c>
      <c r="B938" s="66" t="s">
        <v>349</v>
      </c>
      <c r="C938" s="30"/>
      <c r="E938" s="14"/>
      <c r="F938" s="14">
        <f t="shared" si="373"/>
        <v>0</v>
      </c>
      <c r="J938" s="14">
        <f t="shared" si="374"/>
        <v>0</v>
      </c>
    </row>
    <row r="939" spans="1:10" ht="10.5" customHeight="1" x14ac:dyDescent="0.2">
      <c r="A939" s="5">
        <f t="shared" si="372"/>
        <v>939</v>
      </c>
      <c r="B939" s="62" t="s">
        <v>307</v>
      </c>
      <c r="C939" s="30"/>
      <c r="D939" s="17">
        <v>3885262.84</v>
      </c>
      <c r="E939" s="14"/>
      <c r="F939" s="14">
        <f t="shared" si="373"/>
        <v>3885262.84</v>
      </c>
      <c r="H939" s="14">
        <f>F939</f>
        <v>3885262.84</v>
      </c>
      <c r="J939" s="14">
        <f t="shared" si="374"/>
        <v>3885262.84</v>
      </c>
    </row>
    <row r="940" spans="1:10" ht="10.5" customHeight="1" x14ac:dyDescent="0.2">
      <c r="A940" s="5">
        <f t="shared" si="372"/>
        <v>940</v>
      </c>
      <c r="B940" s="62" t="s">
        <v>193</v>
      </c>
      <c r="C940" s="30"/>
      <c r="D940" s="14">
        <v>0</v>
      </c>
      <c r="E940" s="14"/>
      <c r="F940" s="14">
        <f t="shared" si="373"/>
        <v>0</v>
      </c>
      <c r="H940" s="14">
        <f>F940</f>
        <v>0</v>
      </c>
      <c r="J940" s="14">
        <f t="shared" si="374"/>
        <v>0</v>
      </c>
    </row>
    <row r="941" spans="1:10" ht="10.5" customHeight="1" x14ac:dyDescent="0.2">
      <c r="A941" s="5">
        <f t="shared" si="372"/>
        <v>941</v>
      </c>
      <c r="B941" s="30" t="s">
        <v>66</v>
      </c>
      <c r="C941" s="30" t="s">
        <v>350</v>
      </c>
      <c r="E941" s="14"/>
      <c r="F941" s="14">
        <f t="shared" si="373"/>
        <v>0</v>
      </c>
      <c r="H941" s="14">
        <f>SUM(H939:H940)</f>
        <v>3885262.84</v>
      </c>
      <c r="J941" s="14">
        <f t="shared" si="374"/>
        <v>3885262.84</v>
      </c>
    </row>
    <row r="942" spans="1:10" ht="10.5" customHeight="1" x14ac:dyDescent="0.2">
      <c r="A942" s="5">
        <f t="shared" si="372"/>
        <v>942</v>
      </c>
      <c r="B942" s="66" t="s">
        <v>351</v>
      </c>
      <c r="C942" s="30"/>
      <c r="D942" s="17">
        <v>501220.79</v>
      </c>
      <c r="E942" s="14"/>
      <c r="F942" s="14">
        <f t="shared" si="373"/>
        <v>501220.79</v>
      </c>
      <c r="H942" s="14">
        <f>F942</f>
        <v>501220.79</v>
      </c>
      <c r="J942" s="14">
        <f t="shared" si="374"/>
        <v>501220.79</v>
      </c>
    </row>
    <row r="943" spans="1:10" ht="10.5" customHeight="1" x14ac:dyDescent="0.2">
      <c r="A943" s="5">
        <f t="shared" si="372"/>
        <v>943</v>
      </c>
      <c r="B943" s="66" t="s">
        <v>352</v>
      </c>
      <c r="C943" s="30"/>
      <c r="D943" s="14">
        <v>1E-8</v>
      </c>
      <c r="E943" s="14"/>
      <c r="F943" s="14">
        <f t="shared" si="373"/>
        <v>1E-8</v>
      </c>
      <c r="H943" s="14">
        <f>F943</f>
        <v>1E-8</v>
      </c>
      <c r="J943" s="14">
        <f t="shared" si="374"/>
        <v>1E-8</v>
      </c>
    </row>
    <row r="944" spans="1:10" ht="10.5" customHeight="1" x14ac:dyDescent="0.2">
      <c r="A944" s="5">
        <f t="shared" si="372"/>
        <v>944</v>
      </c>
      <c r="B944" s="30" t="s">
        <v>66</v>
      </c>
      <c r="C944" s="66" t="s">
        <v>353</v>
      </c>
      <c r="D944" s="14">
        <f>SUM(D936:D943)</f>
        <v>4914736.4200000102</v>
      </c>
      <c r="E944" s="14"/>
      <c r="F944" s="14">
        <f t="shared" si="373"/>
        <v>4914736.4200000102</v>
      </c>
      <c r="H944" s="14">
        <f>SUM(H936:H940)+H942+H943</f>
        <v>4914736.4200000102</v>
      </c>
      <c r="J944" s="14">
        <f t="shared" si="374"/>
        <v>4914736.4200000102</v>
      </c>
    </row>
    <row r="945" spans="1:10" ht="10.5" customHeight="1" x14ac:dyDescent="0.2">
      <c r="A945" s="5">
        <f t="shared" si="372"/>
        <v>945</v>
      </c>
      <c r="B945" s="30" t="s">
        <v>66</v>
      </c>
      <c r="C945" s="30" t="s">
        <v>66</v>
      </c>
      <c r="E945" s="14"/>
      <c r="J945" s="14"/>
    </row>
    <row r="946" spans="1:10" ht="10.5" customHeight="1" x14ac:dyDescent="0.2">
      <c r="A946" s="5">
        <f t="shared" si="372"/>
        <v>946</v>
      </c>
      <c r="B946" s="30" t="s">
        <v>314</v>
      </c>
      <c r="C946" s="30"/>
      <c r="E946" s="14"/>
      <c r="J946" s="14"/>
    </row>
    <row r="947" spans="1:10" ht="10.5" customHeight="1" x14ac:dyDescent="0.2">
      <c r="A947" s="5">
        <f t="shared" si="372"/>
        <v>947</v>
      </c>
      <c r="B947" s="66" t="s">
        <v>354</v>
      </c>
      <c r="C947" s="30"/>
      <c r="D947" s="70">
        <v>0</v>
      </c>
      <c r="E947" s="14"/>
      <c r="F947" s="14">
        <f t="shared" si="373"/>
        <v>0</v>
      </c>
      <c r="H947" s="14">
        <f>F947</f>
        <v>0</v>
      </c>
      <c r="J947" s="14">
        <f t="shared" si="374"/>
        <v>0</v>
      </c>
    </row>
    <row r="948" spans="1:10" ht="10.5" customHeight="1" x14ac:dyDescent="0.2">
      <c r="A948" s="5">
        <f t="shared" si="372"/>
        <v>948</v>
      </c>
      <c r="B948" s="66" t="s">
        <v>355</v>
      </c>
      <c r="C948" s="30"/>
      <c r="D948" s="17">
        <v>53983.48</v>
      </c>
      <c r="E948" s="14"/>
      <c r="F948" s="14">
        <f t="shared" si="373"/>
        <v>53983.48</v>
      </c>
      <c r="H948" s="14">
        <f>F948</f>
        <v>53983.48</v>
      </c>
      <c r="J948" s="14">
        <f t="shared" si="374"/>
        <v>53983.48</v>
      </c>
    </row>
    <row r="949" spans="1:10" ht="10.5" customHeight="1" x14ac:dyDescent="0.2">
      <c r="A949" s="5">
        <f t="shared" si="372"/>
        <v>949</v>
      </c>
      <c r="B949" s="66" t="s">
        <v>356</v>
      </c>
      <c r="C949" s="30"/>
      <c r="E949" s="14"/>
      <c r="F949" s="14">
        <f t="shared" si="373"/>
        <v>0</v>
      </c>
      <c r="J949" s="14">
        <f t="shared" si="374"/>
        <v>0</v>
      </c>
    </row>
    <row r="950" spans="1:10" ht="10.5" customHeight="1" x14ac:dyDescent="0.2">
      <c r="A950" s="5">
        <f t="shared" si="372"/>
        <v>950</v>
      </c>
      <c r="B950" s="62" t="s">
        <v>307</v>
      </c>
      <c r="C950" s="30"/>
      <c r="D950" s="17">
        <v>63357.32</v>
      </c>
      <c r="E950" s="14"/>
      <c r="F950" s="14">
        <f t="shared" si="373"/>
        <v>63357.32</v>
      </c>
      <c r="H950" s="14">
        <f>F950</f>
        <v>63357.32</v>
      </c>
      <c r="J950" s="14">
        <f t="shared" si="374"/>
        <v>63357.32</v>
      </c>
    </row>
    <row r="951" spans="1:10" ht="10.5" customHeight="1" x14ac:dyDescent="0.2">
      <c r="A951" s="5">
        <f t="shared" si="372"/>
        <v>951</v>
      </c>
      <c r="B951" s="62" t="s">
        <v>193</v>
      </c>
      <c r="C951" s="30"/>
      <c r="E951" s="14"/>
      <c r="F951" s="14">
        <f t="shared" si="373"/>
        <v>0</v>
      </c>
      <c r="H951" s="14">
        <v>0</v>
      </c>
      <c r="J951" s="14">
        <f t="shared" si="374"/>
        <v>0</v>
      </c>
    </row>
    <row r="952" spans="1:10" ht="10.5" customHeight="1" x14ac:dyDescent="0.2">
      <c r="A952" s="5">
        <f t="shared" si="372"/>
        <v>952</v>
      </c>
      <c r="B952" s="30" t="s">
        <v>66</v>
      </c>
      <c r="C952" s="30" t="s">
        <v>357</v>
      </c>
      <c r="E952" s="14"/>
      <c r="F952" s="14">
        <f t="shared" si="373"/>
        <v>0</v>
      </c>
      <c r="H952" s="14">
        <f>SUM(H950:H951)</f>
        <v>63357.32</v>
      </c>
      <c r="J952" s="14">
        <f t="shared" si="374"/>
        <v>63357.32</v>
      </c>
    </row>
    <row r="953" spans="1:10" ht="10.5" customHeight="1" x14ac:dyDescent="0.2">
      <c r="A953" s="5">
        <f t="shared" si="372"/>
        <v>953</v>
      </c>
      <c r="B953" s="66" t="s">
        <v>358</v>
      </c>
      <c r="C953" s="30"/>
      <c r="D953" s="17">
        <v>506834.4</v>
      </c>
      <c r="E953" s="14"/>
      <c r="F953" s="14">
        <f t="shared" si="373"/>
        <v>506834.4</v>
      </c>
      <c r="H953" s="14">
        <f>F953</f>
        <v>506834.4</v>
      </c>
      <c r="J953" s="14">
        <f t="shared" si="374"/>
        <v>506834.4</v>
      </c>
    </row>
    <row r="954" spans="1:10" ht="10.5" customHeight="1" x14ac:dyDescent="0.2">
      <c r="A954" s="5">
        <f t="shared" si="372"/>
        <v>954</v>
      </c>
      <c r="B954" s="30" t="s">
        <v>66</v>
      </c>
      <c r="C954" s="66" t="s">
        <v>359</v>
      </c>
      <c r="D954" s="14">
        <f>SUM(D947:D953)</f>
        <v>624175.20000000007</v>
      </c>
      <c r="E954" s="14"/>
      <c r="F954" s="14">
        <f t="shared" si="373"/>
        <v>624175.20000000007</v>
      </c>
      <c r="H954" s="14">
        <f>SUM(H947:H948)+SUM(H952:H953)</f>
        <v>624175.19999999995</v>
      </c>
      <c r="J954" s="14">
        <f t="shared" si="374"/>
        <v>624175.19999999995</v>
      </c>
    </row>
    <row r="955" spans="1:10" ht="10.5" customHeight="1" x14ac:dyDescent="0.2">
      <c r="A955" s="5">
        <f t="shared" si="372"/>
        <v>955</v>
      </c>
      <c r="B955" s="30" t="s">
        <v>66</v>
      </c>
      <c r="C955" s="30" t="s">
        <v>360</v>
      </c>
      <c r="D955" s="14">
        <f>D944+D954</f>
        <v>5538911.6200000104</v>
      </c>
      <c r="E955" s="14"/>
      <c r="F955" s="14">
        <f t="shared" si="373"/>
        <v>5538911.6200000104</v>
      </c>
      <c r="H955" s="14">
        <f>H944+H954</f>
        <v>5538911.6200000104</v>
      </c>
      <c r="J955" s="14">
        <f t="shared" si="374"/>
        <v>5538911.6200000104</v>
      </c>
    </row>
    <row r="956" spans="1:10" ht="10.5" customHeight="1" x14ac:dyDescent="0.2">
      <c r="A956" s="5">
        <f t="shared" si="372"/>
        <v>956</v>
      </c>
      <c r="B956" s="30" t="str">
        <f>" "</f>
        <v xml:space="preserve"> </v>
      </c>
      <c r="C956" s="30"/>
      <c r="E956" s="14"/>
      <c r="J956" s="14"/>
    </row>
    <row r="957" spans="1:10" ht="10.5" customHeight="1" x14ac:dyDescent="0.2">
      <c r="A957" s="5">
        <f t="shared" si="372"/>
        <v>957</v>
      </c>
      <c r="B957" s="30" t="s">
        <v>361</v>
      </c>
      <c r="C957" s="30"/>
      <c r="E957" s="14"/>
      <c r="J957" s="14"/>
    </row>
    <row r="958" spans="1:10" ht="10.5" customHeight="1" x14ac:dyDescent="0.2">
      <c r="A958" s="5">
        <f t="shared" si="372"/>
        <v>958</v>
      </c>
      <c r="B958" s="66" t="s">
        <v>362</v>
      </c>
      <c r="C958" s="30"/>
      <c r="D958" s="14">
        <v>1E-8</v>
      </c>
      <c r="E958" s="14"/>
      <c r="F958" s="14">
        <f t="shared" si="373"/>
        <v>1E-8</v>
      </c>
      <c r="H958" s="14">
        <f>F958</f>
        <v>1E-8</v>
      </c>
      <c r="J958" s="14">
        <f t="shared" si="374"/>
        <v>1E-8</v>
      </c>
    </row>
    <row r="959" spans="1:10" ht="10.5" customHeight="1" x14ac:dyDescent="0.2">
      <c r="A959" s="5">
        <f t="shared" si="372"/>
        <v>959</v>
      </c>
      <c r="B959" s="66" t="s">
        <v>367</v>
      </c>
      <c r="C959" s="30"/>
      <c r="E959" s="14"/>
      <c r="F959" s="14">
        <f t="shared" si="373"/>
        <v>0</v>
      </c>
      <c r="J959" s="14">
        <f t="shared" si="374"/>
        <v>0</v>
      </c>
    </row>
    <row r="960" spans="1:10" ht="10.5" customHeight="1" x14ac:dyDescent="0.2">
      <c r="A960" s="5">
        <f t="shared" si="372"/>
        <v>960</v>
      </c>
      <c r="B960" s="30"/>
      <c r="C960" s="66" t="s">
        <v>595</v>
      </c>
      <c r="D960" s="14">
        <v>1E-8</v>
      </c>
      <c r="E960" s="14"/>
      <c r="F960" s="14">
        <f t="shared" si="373"/>
        <v>1E-8</v>
      </c>
      <c r="H960" s="14">
        <f>F960</f>
        <v>1E-8</v>
      </c>
      <c r="J960" s="14">
        <f t="shared" si="374"/>
        <v>1E-8</v>
      </c>
    </row>
    <row r="961" spans="1:10" ht="10.5" customHeight="1" x14ac:dyDescent="0.2">
      <c r="A961" s="5">
        <f t="shared" si="372"/>
        <v>961</v>
      </c>
      <c r="B961" s="30"/>
      <c r="C961" s="66" t="s">
        <v>596</v>
      </c>
      <c r="D961" s="14">
        <v>9.9999999999999994E-12</v>
      </c>
      <c r="E961" s="14"/>
      <c r="F961" s="14">
        <f t="shared" si="373"/>
        <v>9.9999999999999994E-12</v>
      </c>
      <c r="H961" s="14">
        <f>F961</f>
        <v>9.9999999999999994E-12</v>
      </c>
      <c r="J961" s="14">
        <f t="shared" si="374"/>
        <v>9.9999999999999994E-12</v>
      </c>
    </row>
    <row r="962" spans="1:10" ht="10.5" customHeight="1" x14ac:dyDescent="0.2">
      <c r="A962" s="5">
        <f t="shared" si="372"/>
        <v>962</v>
      </c>
      <c r="B962" s="30" t="s">
        <v>66</v>
      </c>
      <c r="C962" s="66" t="s">
        <v>597</v>
      </c>
      <c r="E962" s="14"/>
      <c r="J962" s="14"/>
    </row>
    <row r="963" spans="1:10" ht="10.5" customHeight="1" x14ac:dyDescent="0.2">
      <c r="A963" s="5">
        <f t="shared" si="372"/>
        <v>963</v>
      </c>
      <c r="B963" s="30" t="s">
        <v>66</v>
      </c>
      <c r="C963" s="71" t="s">
        <v>368</v>
      </c>
      <c r="E963" s="14"/>
      <c r="J963" s="14"/>
    </row>
    <row r="964" spans="1:10" ht="10.5" customHeight="1" x14ac:dyDescent="0.2">
      <c r="A964" s="5">
        <f t="shared" si="372"/>
        <v>964</v>
      </c>
      <c r="B964" s="66" t="s">
        <v>369</v>
      </c>
      <c r="C964" s="30"/>
      <c r="D964" s="17">
        <v>70</v>
      </c>
      <c r="E964" s="14"/>
      <c r="F964" s="14">
        <f t="shared" ref="F964:F995" si="375">D964+E964</f>
        <v>70</v>
      </c>
      <c r="H964" s="14">
        <f>F964</f>
        <v>70</v>
      </c>
      <c r="J964" s="14">
        <f t="shared" ref="J964:J995" si="376">SUM(H964:I964)</f>
        <v>70</v>
      </c>
    </row>
    <row r="965" spans="1:10" ht="10.5" customHeight="1" x14ac:dyDescent="0.2">
      <c r="A965" s="5">
        <f t="shared" si="372"/>
        <v>965</v>
      </c>
      <c r="B965" s="66" t="s">
        <v>370</v>
      </c>
      <c r="C965" s="30"/>
      <c r="D965" s="17">
        <v>5827280.0099999998</v>
      </c>
      <c r="E965" s="14"/>
      <c r="F965" s="14">
        <f t="shared" si="375"/>
        <v>5827280.0099999998</v>
      </c>
      <c r="H965" s="14">
        <f>F965</f>
        <v>5827280.0099999998</v>
      </c>
      <c r="J965" s="14">
        <f t="shared" si="376"/>
        <v>5827280.0099999998</v>
      </c>
    </row>
    <row r="966" spans="1:10" ht="10.5" customHeight="1" x14ac:dyDescent="0.2">
      <c r="A966" s="5">
        <f t="shared" si="372"/>
        <v>966</v>
      </c>
      <c r="B966" s="30" t="s">
        <v>66</v>
      </c>
      <c r="C966" s="30" t="s">
        <v>376</v>
      </c>
      <c r="D966" s="14">
        <f>SUM(D963:D965)</f>
        <v>5827350.0099999998</v>
      </c>
      <c r="E966" s="14"/>
      <c r="F966" s="14">
        <f t="shared" si="375"/>
        <v>5827350.0099999998</v>
      </c>
      <c r="H966" s="14">
        <f>SUM(H963:H965)</f>
        <v>5827350.0099999998</v>
      </c>
      <c r="J966" s="14">
        <f t="shared" si="376"/>
        <v>5827350.0099999998</v>
      </c>
    </row>
    <row r="967" spans="1:10" ht="10.5" customHeight="1" x14ac:dyDescent="0.2">
      <c r="A967" s="5">
        <f t="shared" si="372"/>
        <v>967</v>
      </c>
      <c r="B967" s="30" t="s">
        <v>66</v>
      </c>
      <c r="C967" s="30" t="s">
        <v>66</v>
      </c>
      <c r="E967" s="14"/>
      <c r="F967" s="14">
        <f t="shared" si="375"/>
        <v>0</v>
      </c>
      <c r="J967" s="14">
        <f t="shared" si="376"/>
        <v>0</v>
      </c>
    </row>
    <row r="968" spans="1:10" ht="10.5" customHeight="1" x14ac:dyDescent="0.2">
      <c r="A968" s="5">
        <f t="shared" si="372"/>
        <v>968</v>
      </c>
      <c r="B968" s="30" t="s">
        <v>66</v>
      </c>
      <c r="C968" s="30" t="s">
        <v>377</v>
      </c>
      <c r="D968" s="14">
        <f>SUM(D906,D932,D955,D966)</f>
        <v>53987882.680000007</v>
      </c>
      <c r="E968" s="14"/>
      <c r="F968" s="14">
        <f t="shared" si="375"/>
        <v>53987882.680000007</v>
      </c>
      <c r="H968" s="14">
        <f>SUM(H906,H932,H955,H966)</f>
        <v>53987882.680000007</v>
      </c>
      <c r="J968" s="14">
        <f t="shared" si="376"/>
        <v>53987882.680000007</v>
      </c>
    </row>
    <row r="969" spans="1:10" ht="10.5" customHeight="1" x14ac:dyDescent="0.2">
      <c r="A969" s="5">
        <f t="shared" si="372"/>
        <v>969</v>
      </c>
      <c r="B969" s="78" t="str">
        <f>B876</f>
        <v>TABLE 13-DEVELOPMENT OF LABOR RELATED ALLOCATOR</v>
      </c>
      <c r="C969" s="30"/>
      <c r="E969" s="14"/>
      <c r="J969" s="14"/>
    </row>
    <row r="970" spans="1:10" ht="10.5" customHeight="1" x14ac:dyDescent="0.2">
      <c r="A970" s="5">
        <f t="shared" si="372"/>
        <v>970</v>
      </c>
      <c r="B970" s="30" t="s">
        <v>378</v>
      </c>
      <c r="C970" s="30"/>
      <c r="E970" s="14"/>
      <c r="J970" s="14"/>
    </row>
    <row r="971" spans="1:10" ht="10.5" customHeight="1" x14ac:dyDescent="0.2">
      <c r="A971" s="5">
        <f t="shared" si="372"/>
        <v>971</v>
      </c>
      <c r="B971" s="30" t="s">
        <v>303</v>
      </c>
      <c r="C971" s="30"/>
      <c r="E971" s="14"/>
      <c r="J971" s="14"/>
    </row>
    <row r="972" spans="1:10" ht="10.5" customHeight="1" x14ac:dyDescent="0.2">
      <c r="A972" s="5">
        <f t="shared" ref="A972:A1035" si="377">A971+1</f>
        <v>972</v>
      </c>
      <c r="B972" s="66" t="s">
        <v>379</v>
      </c>
      <c r="C972" s="30"/>
      <c r="D972" s="17">
        <v>2064076.58</v>
      </c>
      <c r="E972" s="14"/>
      <c r="F972" s="14">
        <f t="shared" si="375"/>
        <v>2064076.58</v>
      </c>
      <c r="H972" s="14">
        <f t="shared" ref="H972:H978" si="378">F972</f>
        <v>2064076.58</v>
      </c>
      <c r="J972" s="14">
        <f t="shared" si="376"/>
        <v>2064076.58</v>
      </c>
    </row>
    <row r="973" spans="1:10" ht="10.5" customHeight="1" x14ac:dyDescent="0.2">
      <c r="A973" s="5">
        <f t="shared" si="377"/>
        <v>973</v>
      </c>
      <c r="B973" s="66" t="s">
        <v>380</v>
      </c>
      <c r="C973" s="30"/>
      <c r="D973" s="17">
        <v>3193884.54</v>
      </c>
      <c r="E973" s="14"/>
      <c r="F973" s="14">
        <f t="shared" si="375"/>
        <v>3193884.54</v>
      </c>
      <c r="H973" s="14">
        <f t="shared" si="378"/>
        <v>3193884.54</v>
      </c>
      <c r="J973" s="14">
        <f t="shared" si="376"/>
        <v>3193884.54</v>
      </c>
    </row>
    <row r="974" spans="1:10" ht="10.5" customHeight="1" x14ac:dyDescent="0.2">
      <c r="A974" s="5">
        <f t="shared" si="377"/>
        <v>974</v>
      </c>
      <c r="B974" s="66" t="s">
        <v>381</v>
      </c>
      <c r="C974" s="30"/>
      <c r="D974" s="17">
        <v>1873805.26</v>
      </c>
      <c r="E974" s="14"/>
      <c r="F974" s="14">
        <f t="shared" si="375"/>
        <v>1873805.26</v>
      </c>
      <c r="H974" s="14">
        <f t="shared" si="378"/>
        <v>1873805.26</v>
      </c>
      <c r="J974" s="14">
        <f t="shared" si="376"/>
        <v>1873805.26</v>
      </c>
    </row>
    <row r="975" spans="1:10" ht="10.5" customHeight="1" x14ac:dyDescent="0.2">
      <c r="A975" s="5">
        <f t="shared" si="377"/>
        <v>975</v>
      </c>
      <c r="B975" s="66" t="s">
        <v>382</v>
      </c>
      <c r="C975" s="30"/>
      <c r="D975" s="17">
        <v>496614.55</v>
      </c>
      <c r="E975" s="14"/>
      <c r="F975" s="14">
        <f t="shared" si="375"/>
        <v>496614.55</v>
      </c>
      <c r="H975" s="14">
        <f t="shared" si="378"/>
        <v>496614.55</v>
      </c>
      <c r="J975" s="14">
        <f t="shared" si="376"/>
        <v>496614.55</v>
      </c>
    </row>
    <row r="976" spans="1:10" ht="10.5" customHeight="1" x14ac:dyDescent="0.2">
      <c r="A976" s="5">
        <f t="shared" si="377"/>
        <v>976</v>
      </c>
      <c r="B976" s="66" t="s">
        <v>383</v>
      </c>
      <c r="C976" s="30"/>
      <c r="D976" s="17">
        <v>0</v>
      </c>
      <c r="E976" s="14"/>
      <c r="F976" s="14">
        <f t="shared" si="375"/>
        <v>0</v>
      </c>
      <c r="H976" s="14">
        <f t="shared" si="378"/>
        <v>0</v>
      </c>
      <c r="J976" s="14">
        <f t="shared" si="376"/>
        <v>0</v>
      </c>
    </row>
    <row r="977" spans="1:10" ht="10.5" customHeight="1" x14ac:dyDescent="0.2">
      <c r="A977" s="5">
        <f t="shared" si="377"/>
        <v>977</v>
      </c>
      <c r="B977" s="66" t="s">
        <v>384</v>
      </c>
      <c r="C977" s="30"/>
      <c r="D977" s="17">
        <v>0</v>
      </c>
      <c r="E977" s="14"/>
      <c r="F977" s="14">
        <f t="shared" si="375"/>
        <v>0</v>
      </c>
      <c r="H977" s="14">
        <f t="shared" si="378"/>
        <v>0</v>
      </c>
      <c r="J977" s="14">
        <f t="shared" si="376"/>
        <v>0</v>
      </c>
    </row>
    <row r="978" spans="1:10" ht="10.5" customHeight="1" x14ac:dyDescent="0.2">
      <c r="A978" s="5">
        <f t="shared" si="377"/>
        <v>978</v>
      </c>
      <c r="B978" s="66" t="s">
        <v>385</v>
      </c>
      <c r="C978" s="30"/>
      <c r="D978" s="17">
        <v>0</v>
      </c>
      <c r="E978" s="14"/>
      <c r="F978" s="14">
        <f t="shared" si="375"/>
        <v>0</v>
      </c>
      <c r="H978" s="14">
        <f t="shared" si="378"/>
        <v>0</v>
      </c>
      <c r="J978" s="14">
        <f t="shared" si="376"/>
        <v>0</v>
      </c>
    </row>
    <row r="979" spans="1:10" ht="10.5" customHeight="1" x14ac:dyDescent="0.2">
      <c r="A979" s="5">
        <f t="shared" si="377"/>
        <v>979</v>
      </c>
      <c r="B979" s="30" t="s">
        <v>66</v>
      </c>
      <c r="C979" s="30" t="s">
        <v>386</v>
      </c>
      <c r="D979" s="14">
        <f>SUM(D972:D978)</f>
        <v>7628380.9299999997</v>
      </c>
      <c r="E979" s="14"/>
      <c r="F979" s="14">
        <f t="shared" si="375"/>
        <v>7628380.9299999997</v>
      </c>
      <c r="H979" s="14">
        <f>SUM(H972:H978)</f>
        <v>7628380.9299999997</v>
      </c>
      <c r="J979" s="14">
        <f t="shared" si="376"/>
        <v>7628380.9299999997</v>
      </c>
    </row>
    <row r="980" spans="1:10" ht="10.5" customHeight="1" x14ac:dyDescent="0.2">
      <c r="A980" s="5">
        <f t="shared" si="377"/>
        <v>980</v>
      </c>
      <c r="B980" s="30" t="s">
        <v>66</v>
      </c>
      <c r="C980" s="30" t="s">
        <v>66</v>
      </c>
      <c r="E980" s="14"/>
      <c r="F980" s="14">
        <f t="shared" si="375"/>
        <v>0</v>
      </c>
      <c r="J980" s="14">
        <f t="shared" si="376"/>
        <v>0</v>
      </c>
    </row>
    <row r="981" spans="1:10" ht="10.5" customHeight="1" x14ac:dyDescent="0.2">
      <c r="A981" s="5">
        <f t="shared" si="377"/>
        <v>981</v>
      </c>
      <c r="B981" s="30" t="s">
        <v>314</v>
      </c>
      <c r="C981" s="30"/>
      <c r="E981" s="14"/>
      <c r="F981" s="14">
        <f t="shared" si="375"/>
        <v>0</v>
      </c>
      <c r="J981" s="14">
        <f t="shared" si="376"/>
        <v>0</v>
      </c>
    </row>
    <row r="982" spans="1:10" ht="10.5" customHeight="1" x14ac:dyDescent="0.2">
      <c r="A982" s="5">
        <f t="shared" si="377"/>
        <v>982</v>
      </c>
      <c r="B982" s="66" t="s">
        <v>387</v>
      </c>
      <c r="C982" s="30"/>
      <c r="D982" s="17">
        <v>233121.53</v>
      </c>
      <c r="E982" s="14"/>
      <c r="F982" s="14">
        <f t="shared" si="375"/>
        <v>233121.53</v>
      </c>
      <c r="H982" s="14">
        <f>F982</f>
        <v>233121.53</v>
      </c>
      <c r="J982" s="14">
        <f t="shared" si="376"/>
        <v>233121.53</v>
      </c>
    </row>
    <row r="983" spans="1:10" ht="10.5" customHeight="1" x14ac:dyDescent="0.2">
      <c r="A983" s="5">
        <f t="shared" si="377"/>
        <v>983</v>
      </c>
      <c r="B983" s="66" t="s">
        <v>388</v>
      </c>
      <c r="C983" s="30"/>
      <c r="D983" s="17">
        <v>1237219.6299999999</v>
      </c>
      <c r="E983" s="14"/>
      <c r="F983" s="14">
        <f t="shared" si="375"/>
        <v>1237219.6299999999</v>
      </c>
      <c r="H983" s="14">
        <f>F983</f>
        <v>1237219.6299999999</v>
      </c>
      <c r="J983" s="14">
        <f t="shared" si="376"/>
        <v>1237219.6299999999</v>
      </c>
    </row>
    <row r="984" spans="1:10" ht="10.5" customHeight="1" x14ac:dyDescent="0.2">
      <c r="A984" s="5">
        <f t="shared" si="377"/>
        <v>984</v>
      </c>
      <c r="B984" s="66" t="s">
        <v>389</v>
      </c>
      <c r="C984" s="30"/>
      <c r="D984" s="17">
        <v>2468383.4</v>
      </c>
      <c r="E984" s="14"/>
      <c r="F984" s="14">
        <f t="shared" si="375"/>
        <v>2468383.4</v>
      </c>
      <c r="H984" s="14">
        <f>F984</f>
        <v>2468383.4</v>
      </c>
      <c r="J984" s="14">
        <f t="shared" si="376"/>
        <v>2468383.4</v>
      </c>
    </row>
    <row r="985" spans="1:10" ht="10.5" customHeight="1" x14ac:dyDescent="0.2">
      <c r="A985" s="5">
        <f t="shared" si="377"/>
        <v>985</v>
      </c>
      <c r="B985" s="66" t="s">
        <v>390</v>
      </c>
      <c r="C985" s="30"/>
      <c r="D985" s="17">
        <v>1275469.8</v>
      </c>
      <c r="E985" s="14"/>
      <c r="F985" s="14">
        <f t="shared" si="375"/>
        <v>1275469.8</v>
      </c>
      <c r="H985" s="14">
        <f>F985</f>
        <v>1275469.8</v>
      </c>
      <c r="J985" s="14">
        <f t="shared" si="376"/>
        <v>1275469.8</v>
      </c>
    </row>
    <row r="986" spans="1:10" ht="10.5" customHeight="1" x14ac:dyDescent="0.2">
      <c r="A986" s="5">
        <f t="shared" si="377"/>
        <v>986</v>
      </c>
      <c r="B986" s="66" t="s">
        <v>391</v>
      </c>
      <c r="C986" s="30"/>
      <c r="D986" s="17">
        <v>628.84</v>
      </c>
      <c r="E986" s="14"/>
      <c r="F986" s="14">
        <f t="shared" si="375"/>
        <v>628.84</v>
      </c>
      <c r="H986" s="14">
        <f>F986</f>
        <v>628.84</v>
      </c>
      <c r="J986" s="14">
        <f t="shared" si="376"/>
        <v>628.84</v>
      </c>
    </row>
    <row r="987" spans="1:10" ht="10.5" customHeight="1" x14ac:dyDescent="0.2">
      <c r="A987" s="5">
        <f t="shared" si="377"/>
        <v>987</v>
      </c>
      <c r="B987" s="30" t="s">
        <v>66</v>
      </c>
      <c r="C987" s="30" t="s">
        <v>392</v>
      </c>
      <c r="D987" s="14">
        <f>SUM(D982:D986)</f>
        <v>5214823.1999999993</v>
      </c>
      <c r="E987" s="14"/>
      <c r="F987" s="14">
        <f t="shared" si="375"/>
        <v>5214823.1999999993</v>
      </c>
      <c r="H987" s="14">
        <f>SUM(H982:H986)</f>
        <v>5214823.1999999993</v>
      </c>
      <c r="J987" s="14">
        <f t="shared" si="376"/>
        <v>5214823.1999999993</v>
      </c>
    </row>
    <row r="988" spans="1:10" ht="10.5" customHeight="1" x14ac:dyDescent="0.2">
      <c r="A988" s="5">
        <f t="shared" si="377"/>
        <v>988</v>
      </c>
      <c r="B988" s="30" t="s">
        <v>66</v>
      </c>
      <c r="C988" s="30" t="s">
        <v>66</v>
      </c>
      <c r="E988" s="14"/>
      <c r="F988" s="14">
        <f t="shared" si="375"/>
        <v>0</v>
      </c>
      <c r="J988" s="14">
        <f t="shared" si="376"/>
        <v>0</v>
      </c>
    </row>
    <row r="989" spans="1:10" ht="10.5" customHeight="1" x14ac:dyDescent="0.2">
      <c r="A989" s="5">
        <f t="shared" si="377"/>
        <v>989</v>
      </c>
      <c r="B989" s="30" t="s">
        <v>66</v>
      </c>
      <c r="C989" s="30" t="s">
        <v>393</v>
      </c>
      <c r="D989" s="14">
        <f>SUM(D979,D987)</f>
        <v>12843204.129999999</v>
      </c>
      <c r="E989" s="14"/>
      <c r="F989" s="14">
        <f t="shared" si="375"/>
        <v>12843204.129999999</v>
      </c>
      <c r="H989" s="14">
        <f>SUM(H979,H987)</f>
        <v>12843204.129999999</v>
      </c>
      <c r="J989" s="14">
        <f t="shared" si="376"/>
        <v>12843204.129999999</v>
      </c>
    </row>
    <row r="990" spans="1:10" ht="10.5" customHeight="1" x14ac:dyDescent="0.2">
      <c r="A990" s="5">
        <f t="shared" si="377"/>
        <v>990</v>
      </c>
      <c r="B990" s="78" t="str">
        <f>B876</f>
        <v>TABLE 13-DEVELOPMENT OF LABOR RELATED ALLOCATOR</v>
      </c>
      <c r="C990" s="30"/>
      <c r="E990" s="14"/>
      <c r="J990" s="14"/>
    </row>
    <row r="991" spans="1:10" ht="10.5" customHeight="1" x14ac:dyDescent="0.2">
      <c r="A991" s="5">
        <f t="shared" si="377"/>
        <v>991</v>
      </c>
      <c r="B991" s="30" t="s">
        <v>403</v>
      </c>
      <c r="C991" s="30"/>
      <c r="E991" s="14"/>
      <c r="J991" s="14"/>
    </row>
    <row r="992" spans="1:10" ht="10.5" customHeight="1" x14ac:dyDescent="0.2">
      <c r="A992" s="5">
        <f t="shared" si="377"/>
        <v>992</v>
      </c>
      <c r="B992" s="30" t="s">
        <v>303</v>
      </c>
      <c r="C992" s="30"/>
      <c r="E992" s="14"/>
      <c r="J992" s="14"/>
    </row>
    <row r="993" spans="1:10" ht="10.5" customHeight="1" x14ac:dyDescent="0.2">
      <c r="A993" s="5">
        <f t="shared" si="377"/>
        <v>993</v>
      </c>
      <c r="B993" s="66" t="s">
        <v>404</v>
      </c>
      <c r="C993" s="30"/>
      <c r="D993" s="17">
        <v>3389945.08</v>
      </c>
      <c r="E993" s="14"/>
      <c r="F993" s="14">
        <f t="shared" si="375"/>
        <v>3389945.08</v>
      </c>
      <c r="H993" s="14">
        <f>F993</f>
        <v>3389945.08</v>
      </c>
      <c r="J993" s="14">
        <f t="shared" si="376"/>
        <v>3389945.08</v>
      </c>
    </row>
    <row r="994" spans="1:10" ht="10.5" customHeight="1" x14ac:dyDescent="0.2">
      <c r="A994" s="5">
        <f t="shared" si="377"/>
        <v>994</v>
      </c>
      <c r="B994" s="66" t="s">
        <v>405</v>
      </c>
      <c r="C994" s="30"/>
      <c r="D994" s="17">
        <v>4902828.2</v>
      </c>
      <c r="E994" s="14"/>
      <c r="F994" s="14">
        <f t="shared" si="375"/>
        <v>4902828.2</v>
      </c>
      <c r="H994" s="14">
        <f t="shared" ref="H994:H1002" si="379">F994</f>
        <v>4902828.2</v>
      </c>
      <c r="J994" s="14">
        <f t="shared" si="376"/>
        <v>4902828.2</v>
      </c>
    </row>
    <row r="995" spans="1:10" ht="10.5" customHeight="1" x14ac:dyDescent="0.2">
      <c r="A995" s="5">
        <f t="shared" si="377"/>
        <v>995</v>
      </c>
      <c r="B995" s="66" t="s">
        <v>406</v>
      </c>
      <c r="C995" s="30"/>
      <c r="D995" s="17">
        <v>1083682.06</v>
      </c>
      <c r="E995" s="14"/>
      <c r="F995" s="14">
        <f t="shared" si="375"/>
        <v>1083682.06</v>
      </c>
      <c r="H995" s="14">
        <f t="shared" si="379"/>
        <v>1083682.06</v>
      </c>
      <c r="J995" s="14">
        <f t="shared" si="376"/>
        <v>1083682.06</v>
      </c>
    </row>
    <row r="996" spans="1:10" ht="10.5" customHeight="1" x14ac:dyDescent="0.2">
      <c r="A996" s="5">
        <f t="shared" si="377"/>
        <v>996</v>
      </c>
      <c r="B996" s="66" t="s">
        <v>407</v>
      </c>
      <c r="C996" s="30"/>
      <c r="D996" s="17">
        <v>4494832.57</v>
      </c>
      <c r="E996" s="14"/>
      <c r="F996" s="14">
        <f t="shared" ref="F996:F1027" si="380">D996+E996</f>
        <v>4494832.57</v>
      </c>
      <c r="H996" s="14">
        <f t="shared" si="379"/>
        <v>4494832.57</v>
      </c>
      <c r="J996" s="14">
        <f t="shared" ref="J996:J1027" si="381">SUM(H996:I996)</f>
        <v>4494832.57</v>
      </c>
    </row>
    <row r="997" spans="1:10" ht="10.5" customHeight="1" x14ac:dyDescent="0.2">
      <c r="A997" s="5">
        <f t="shared" si="377"/>
        <v>997</v>
      </c>
      <c r="B997" s="66" t="s">
        <v>408</v>
      </c>
      <c r="C997" s="30"/>
      <c r="D997" s="17">
        <v>1666400.14</v>
      </c>
      <c r="E997" s="14"/>
      <c r="F997" s="14">
        <f t="shared" si="380"/>
        <v>1666400.14</v>
      </c>
      <c r="H997" s="14">
        <f t="shared" si="379"/>
        <v>1666400.14</v>
      </c>
      <c r="J997" s="14">
        <f t="shared" si="381"/>
        <v>1666400.14</v>
      </c>
    </row>
    <row r="998" spans="1:10" ht="10.5" customHeight="1" x14ac:dyDescent="0.2">
      <c r="A998" s="5">
        <f t="shared" si="377"/>
        <v>998</v>
      </c>
      <c r="B998" s="66" t="s">
        <v>409</v>
      </c>
      <c r="C998" s="30"/>
      <c r="D998" s="17">
        <v>0</v>
      </c>
      <c r="E998" s="14"/>
      <c r="F998" s="14">
        <f t="shared" si="380"/>
        <v>0</v>
      </c>
      <c r="H998" s="14">
        <f t="shared" si="379"/>
        <v>0</v>
      </c>
      <c r="J998" s="14">
        <f t="shared" si="381"/>
        <v>0</v>
      </c>
    </row>
    <row r="999" spans="1:10" ht="10.5" customHeight="1" x14ac:dyDescent="0.2">
      <c r="A999" s="5">
        <f t="shared" si="377"/>
        <v>999</v>
      </c>
      <c r="B999" s="66" t="s">
        <v>410</v>
      </c>
      <c r="C999" s="30"/>
      <c r="D999" s="17">
        <v>5083662.32</v>
      </c>
      <c r="E999" s="14"/>
      <c r="F999" s="14">
        <f t="shared" si="380"/>
        <v>5083662.32</v>
      </c>
      <c r="H999" s="14">
        <f t="shared" si="379"/>
        <v>5083662.32</v>
      </c>
      <c r="J999" s="14">
        <f t="shared" si="381"/>
        <v>5083662.32</v>
      </c>
    </row>
    <row r="1000" spans="1:10" ht="10.5" customHeight="1" x14ac:dyDescent="0.2">
      <c r="A1000" s="5">
        <f t="shared" si="377"/>
        <v>1000</v>
      </c>
      <c r="B1000" s="66" t="s">
        <v>411</v>
      </c>
      <c r="C1000" s="30"/>
      <c r="D1000" s="17">
        <v>950363.97</v>
      </c>
      <c r="E1000" s="14"/>
      <c r="F1000" s="14">
        <f t="shared" si="380"/>
        <v>950363.97</v>
      </c>
      <c r="H1000" s="14">
        <f t="shared" si="379"/>
        <v>950363.97</v>
      </c>
      <c r="J1000" s="14">
        <f t="shared" si="381"/>
        <v>950363.97</v>
      </c>
    </row>
    <row r="1001" spans="1:10" ht="10.5" customHeight="1" x14ac:dyDescent="0.2">
      <c r="A1001" s="5">
        <f t="shared" si="377"/>
        <v>1001</v>
      </c>
      <c r="B1001" s="66" t="s">
        <v>412</v>
      </c>
      <c r="C1001" s="30"/>
      <c r="D1001" s="17">
        <v>2806259.36</v>
      </c>
      <c r="E1001" s="14"/>
      <c r="F1001" s="14">
        <f t="shared" si="380"/>
        <v>2806259.36</v>
      </c>
      <c r="H1001" s="14">
        <f t="shared" si="379"/>
        <v>2806259.36</v>
      </c>
      <c r="J1001" s="14">
        <f t="shared" si="381"/>
        <v>2806259.36</v>
      </c>
    </row>
    <row r="1002" spans="1:10" ht="10.5" customHeight="1" x14ac:dyDescent="0.2">
      <c r="A1002" s="5">
        <f t="shared" si="377"/>
        <v>1002</v>
      </c>
      <c r="B1002" s="66" t="s">
        <v>413</v>
      </c>
      <c r="C1002" s="30"/>
      <c r="D1002" s="17">
        <v>0</v>
      </c>
      <c r="E1002" s="14"/>
      <c r="F1002" s="14">
        <f t="shared" si="380"/>
        <v>0</v>
      </c>
      <c r="H1002" s="14">
        <f t="shared" si="379"/>
        <v>0</v>
      </c>
      <c r="J1002" s="14">
        <f t="shared" si="381"/>
        <v>0</v>
      </c>
    </row>
    <row r="1003" spans="1:10" ht="10.5" customHeight="1" x14ac:dyDescent="0.2">
      <c r="A1003" s="5">
        <f t="shared" si="377"/>
        <v>1003</v>
      </c>
      <c r="B1003" s="30" t="s">
        <v>66</v>
      </c>
      <c r="C1003" s="66" t="s">
        <v>414</v>
      </c>
      <c r="D1003" s="14">
        <f>SUM(D993:D1002)</f>
        <v>24377973.699999999</v>
      </c>
      <c r="E1003" s="14"/>
      <c r="F1003" s="14">
        <f t="shared" si="380"/>
        <v>24377973.699999999</v>
      </c>
      <c r="H1003" s="14">
        <f>SUM(H993:H1002)</f>
        <v>24377973.699999999</v>
      </c>
      <c r="J1003" s="14">
        <f t="shared" si="381"/>
        <v>24377973.699999999</v>
      </c>
    </row>
    <row r="1004" spans="1:10" ht="10.5" customHeight="1" x14ac:dyDescent="0.2">
      <c r="A1004" s="5">
        <f t="shared" si="377"/>
        <v>1004</v>
      </c>
      <c r="B1004" s="30" t="str">
        <f>" "</f>
        <v xml:space="preserve"> </v>
      </c>
      <c r="C1004" s="30"/>
      <c r="E1004" s="14"/>
      <c r="J1004" s="14"/>
    </row>
    <row r="1005" spans="1:10" ht="10.5" customHeight="1" x14ac:dyDescent="0.2">
      <c r="A1005" s="5">
        <f t="shared" si="377"/>
        <v>1005</v>
      </c>
      <c r="B1005" s="30" t="s">
        <v>314</v>
      </c>
      <c r="C1005" s="30"/>
      <c r="E1005" s="14"/>
      <c r="J1005" s="14"/>
    </row>
    <row r="1006" spans="1:10" ht="10.5" customHeight="1" x14ac:dyDescent="0.2">
      <c r="A1006" s="5">
        <f t="shared" si="377"/>
        <v>1006</v>
      </c>
      <c r="B1006" s="66" t="s">
        <v>415</v>
      </c>
      <c r="C1006" s="30"/>
      <c r="D1006" s="17">
        <v>5967.66</v>
      </c>
      <c r="E1006" s="14"/>
      <c r="F1006" s="14">
        <f t="shared" si="380"/>
        <v>5967.66</v>
      </c>
      <c r="H1006" s="14">
        <f t="shared" ref="H1006:H1014" si="382">F1006</f>
        <v>5967.66</v>
      </c>
      <c r="J1006" s="14">
        <f t="shared" si="381"/>
        <v>5967.66</v>
      </c>
    </row>
    <row r="1007" spans="1:10" ht="10.5" customHeight="1" x14ac:dyDescent="0.2">
      <c r="A1007" s="5">
        <f t="shared" si="377"/>
        <v>1007</v>
      </c>
      <c r="B1007" s="66" t="s">
        <v>416</v>
      </c>
      <c r="C1007" s="30"/>
      <c r="D1007" s="17">
        <v>0</v>
      </c>
      <c r="E1007" s="14"/>
      <c r="F1007" s="14">
        <f t="shared" si="380"/>
        <v>0</v>
      </c>
      <c r="H1007" s="14">
        <f t="shared" si="382"/>
        <v>0</v>
      </c>
      <c r="J1007" s="14">
        <f t="shared" si="381"/>
        <v>0</v>
      </c>
    </row>
    <row r="1008" spans="1:10" ht="10.5" customHeight="1" x14ac:dyDescent="0.2">
      <c r="A1008" s="5">
        <f t="shared" si="377"/>
        <v>1008</v>
      </c>
      <c r="B1008" s="66" t="s">
        <v>417</v>
      </c>
      <c r="C1008" s="30"/>
      <c r="D1008" s="17">
        <v>3228671.74</v>
      </c>
      <c r="E1008" s="14"/>
      <c r="F1008" s="14">
        <f t="shared" si="380"/>
        <v>3228671.74</v>
      </c>
      <c r="H1008" s="14">
        <f t="shared" si="382"/>
        <v>3228671.74</v>
      </c>
      <c r="J1008" s="14">
        <f t="shared" si="381"/>
        <v>3228671.74</v>
      </c>
    </row>
    <row r="1009" spans="1:10" ht="10.5" customHeight="1" x14ac:dyDescent="0.2">
      <c r="A1009" s="5">
        <f t="shared" si="377"/>
        <v>1009</v>
      </c>
      <c r="B1009" s="66" t="s">
        <v>418</v>
      </c>
      <c r="C1009" s="30"/>
      <c r="D1009" s="17">
        <v>6306916.0199999996</v>
      </c>
      <c r="E1009" s="14"/>
      <c r="F1009" s="14">
        <f t="shared" si="380"/>
        <v>6306916.0199999996</v>
      </c>
      <c r="H1009" s="14">
        <f t="shared" si="382"/>
        <v>6306916.0199999996</v>
      </c>
      <c r="J1009" s="14">
        <f t="shared" si="381"/>
        <v>6306916.0199999996</v>
      </c>
    </row>
    <row r="1010" spans="1:10" ht="10.5" customHeight="1" x14ac:dyDescent="0.2">
      <c r="A1010" s="5">
        <f t="shared" si="377"/>
        <v>1010</v>
      </c>
      <c r="B1010" s="66" t="s">
        <v>419</v>
      </c>
      <c r="C1010" s="30"/>
      <c r="D1010" s="17">
        <v>321023.40000000002</v>
      </c>
      <c r="E1010" s="14"/>
      <c r="F1010" s="14">
        <f t="shared" si="380"/>
        <v>321023.40000000002</v>
      </c>
      <c r="H1010" s="14">
        <f t="shared" si="382"/>
        <v>321023.40000000002</v>
      </c>
      <c r="J1010" s="14">
        <f t="shared" si="381"/>
        <v>321023.40000000002</v>
      </c>
    </row>
    <row r="1011" spans="1:10" ht="10.5" customHeight="1" x14ac:dyDescent="0.2">
      <c r="A1011" s="5">
        <f t="shared" si="377"/>
        <v>1011</v>
      </c>
      <c r="B1011" s="66" t="s">
        <v>420</v>
      </c>
      <c r="C1011" s="30"/>
      <c r="D1011" s="17">
        <v>22838.25</v>
      </c>
      <c r="E1011" s="14"/>
      <c r="F1011" s="14">
        <f t="shared" si="380"/>
        <v>22838.25</v>
      </c>
      <c r="H1011" s="14">
        <f t="shared" si="382"/>
        <v>22838.25</v>
      </c>
      <c r="J1011" s="14">
        <f t="shared" si="381"/>
        <v>22838.25</v>
      </c>
    </row>
    <row r="1012" spans="1:10" ht="10.5" customHeight="1" x14ac:dyDescent="0.2">
      <c r="A1012" s="5">
        <f t="shared" si="377"/>
        <v>1012</v>
      </c>
      <c r="B1012" s="66" t="s">
        <v>421</v>
      </c>
      <c r="C1012" s="30"/>
      <c r="D1012" s="17">
        <v>84069.83</v>
      </c>
      <c r="E1012" s="14"/>
      <c r="F1012" s="14">
        <f t="shared" si="380"/>
        <v>84069.83</v>
      </c>
      <c r="H1012" s="14">
        <f t="shared" si="382"/>
        <v>84069.83</v>
      </c>
      <c r="J1012" s="14">
        <f t="shared" si="381"/>
        <v>84069.83</v>
      </c>
    </row>
    <row r="1013" spans="1:10" ht="10.5" customHeight="1" x14ac:dyDescent="0.2">
      <c r="A1013" s="5">
        <f t="shared" si="377"/>
        <v>1013</v>
      </c>
      <c r="B1013" s="66" t="s">
        <v>422</v>
      </c>
      <c r="C1013" s="30"/>
      <c r="D1013" s="17">
        <v>804362.27</v>
      </c>
      <c r="E1013" s="14"/>
      <c r="F1013" s="14">
        <f t="shared" si="380"/>
        <v>804362.27</v>
      </c>
      <c r="H1013" s="14">
        <f t="shared" si="382"/>
        <v>804362.27</v>
      </c>
      <c r="J1013" s="14">
        <f t="shared" si="381"/>
        <v>804362.27</v>
      </c>
    </row>
    <row r="1014" spans="1:10" ht="10.5" customHeight="1" x14ac:dyDescent="0.2">
      <c r="A1014" s="5">
        <f t="shared" si="377"/>
        <v>1014</v>
      </c>
      <c r="B1014" s="66" t="s">
        <v>423</v>
      </c>
      <c r="C1014" s="30"/>
      <c r="D1014" s="17">
        <v>126473.58</v>
      </c>
      <c r="E1014" s="14"/>
      <c r="F1014" s="14">
        <f t="shared" si="380"/>
        <v>126473.58</v>
      </c>
      <c r="H1014" s="14">
        <f t="shared" si="382"/>
        <v>126473.58</v>
      </c>
      <c r="J1014" s="14">
        <f t="shared" si="381"/>
        <v>126473.58</v>
      </c>
    </row>
    <row r="1015" spans="1:10" ht="10.5" customHeight="1" x14ac:dyDescent="0.2">
      <c r="A1015" s="5">
        <f t="shared" si="377"/>
        <v>1015</v>
      </c>
      <c r="B1015" s="30" t="s">
        <v>66</v>
      </c>
      <c r="C1015" s="66" t="s">
        <v>424</v>
      </c>
      <c r="D1015" s="14">
        <f>SUM(D1006:D1014)</f>
        <v>10900322.75</v>
      </c>
      <c r="E1015" s="14"/>
      <c r="F1015" s="14">
        <f t="shared" si="380"/>
        <v>10900322.75</v>
      </c>
      <c r="H1015" s="14">
        <f>SUM(H1006:H1014)</f>
        <v>10900322.75</v>
      </c>
      <c r="J1015" s="14">
        <f t="shared" si="381"/>
        <v>10900322.75</v>
      </c>
    </row>
    <row r="1016" spans="1:10" ht="10.5" customHeight="1" x14ac:dyDescent="0.2">
      <c r="A1016" s="5">
        <f t="shared" si="377"/>
        <v>1016</v>
      </c>
      <c r="B1016" s="30" t="s">
        <v>66</v>
      </c>
      <c r="C1016" s="30" t="s">
        <v>425</v>
      </c>
      <c r="D1016" s="14">
        <f>D1003+D1015</f>
        <v>35278296.450000003</v>
      </c>
      <c r="E1016" s="14"/>
      <c r="F1016" s="14">
        <f t="shared" si="380"/>
        <v>35278296.450000003</v>
      </c>
      <c r="H1016" s="14">
        <f>H1003+H1015</f>
        <v>35278296.450000003</v>
      </c>
      <c r="J1016" s="14">
        <f t="shared" si="381"/>
        <v>35278296.450000003</v>
      </c>
    </row>
    <row r="1017" spans="1:10" ht="10.5" customHeight="1" x14ac:dyDescent="0.2">
      <c r="A1017" s="5">
        <f t="shared" si="377"/>
        <v>1017</v>
      </c>
      <c r="B1017" s="30" t="s">
        <v>66</v>
      </c>
      <c r="C1017" s="30" t="s">
        <v>66</v>
      </c>
      <c r="E1017" s="14"/>
      <c r="J1017" s="14"/>
    </row>
    <row r="1018" spans="1:10" ht="10.5" customHeight="1" x14ac:dyDescent="0.2">
      <c r="A1018" s="5">
        <f t="shared" si="377"/>
        <v>1018</v>
      </c>
      <c r="B1018" s="30" t="s">
        <v>426</v>
      </c>
      <c r="C1018" s="30"/>
      <c r="E1018" s="14"/>
      <c r="J1018" s="14"/>
    </row>
    <row r="1019" spans="1:10" ht="10.5" customHeight="1" x14ac:dyDescent="0.2">
      <c r="A1019" s="5">
        <f t="shared" si="377"/>
        <v>1019</v>
      </c>
      <c r="B1019" s="66" t="s">
        <v>427</v>
      </c>
      <c r="C1019" s="30"/>
      <c r="D1019" s="17">
        <v>790802.19</v>
      </c>
      <c r="E1019" s="14"/>
      <c r="F1019" s="14">
        <f t="shared" si="380"/>
        <v>790802.19</v>
      </c>
      <c r="H1019" s="14">
        <f t="shared" ref="H1019:H1023" si="383">F1019</f>
        <v>790802.19</v>
      </c>
      <c r="J1019" s="14">
        <f t="shared" si="381"/>
        <v>790802.19</v>
      </c>
    </row>
    <row r="1020" spans="1:10" ht="10.5" customHeight="1" x14ac:dyDescent="0.2">
      <c r="A1020" s="5">
        <f t="shared" si="377"/>
        <v>1020</v>
      </c>
      <c r="B1020" s="66" t="s">
        <v>428</v>
      </c>
      <c r="C1020" s="30"/>
      <c r="D1020" s="17">
        <v>1321230.44</v>
      </c>
      <c r="E1020" s="14"/>
      <c r="F1020" s="14">
        <f t="shared" si="380"/>
        <v>1321230.44</v>
      </c>
      <c r="H1020" s="14">
        <f t="shared" si="383"/>
        <v>1321230.44</v>
      </c>
      <c r="J1020" s="14">
        <f t="shared" si="381"/>
        <v>1321230.44</v>
      </c>
    </row>
    <row r="1021" spans="1:10" ht="10.5" customHeight="1" x14ac:dyDescent="0.2">
      <c r="A1021" s="5">
        <f t="shared" si="377"/>
        <v>1021</v>
      </c>
      <c r="B1021" s="66" t="s">
        <v>429</v>
      </c>
      <c r="C1021" s="30"/>
      <c r="D1021" s="17">
        <v>11435155.02</v>
      </c>
      <c r="E1021" s="14"/>
      <c r="F1021" s="14">
        <f t="shared" si="380"/>
        <v>11435155.02</v>
      </c>
      <c r="H1021" s="14">
        <f t="shared" si="383"/>
        <v>11435155.02</v>
      </c>
      <c r="J1021" s="14">
        <f t="shared" si="381"/>
        <v>11435155.02</v>
      </c>
    </row>
    <row r="1022" spans="1:10" ht="10.5" customHeight="1" x14ac:dyDescent="0.2">
      <c r="A1022" s="5">
        <f t="shared" si="377"/>
        <v>1022</v>
      </c>
      <c r="B1022" s="66" t="s">
        <v>430</v>
      </c>
      <c r="C1022" s="30"/>
      <c r="D1022" s="17">
        <v>0</v>
      </c>
      <c r="E1022" s="14"/>
      <c r="F1022" s="14">
        <f t="shared" si="380"/>
        <v>0</v>
      </c>
      <c r="H1022" s="14">
        <f t="shared" si="383"/>
        <v>0</v>
      </c>
      <c r="J1022" s="14">
        <f t="shared" si="381"/>
        <v>0</v>
      </c>
    </row>
    <row r="1023" spans="1:10" ht="10.5" customHeight="1" x14ac:dyDescent="0.2">
      <c r="A1023" s="5">
        <f t="shared" si="377"/>
        <v>1023</v>
      </c>
      <c r="B1023" s="66" t="s">
        <v>431</v>
      </c>
      <c r="C1023" s="30"/>
      <c r="D1023" s="17">
        <v>0</v>
      </c>
      <c r="E1023" s="14"/>
      <c r="F1023" s="14">
        <f t="shared" si="380"/>
        <v>0</v>
      </c>
      <c r="H1023" s="14">
        <f t="shared" si="383"/>
        <v>0</v>
      </c>
      <c r="J1023" s="14">
        <f t="shared" si="381"/>
        <v>0</v>
      </c>
    </row>
    <row r="1024" spans="1:10" ht="10.5" customHeight="1" x14ac:dyDescent="0.2">
      <c r="A1024" s="5">
        <f t="shared" si="377"/>
        <v>1024</v>
      </c>
      <c r="B1024" s="30" t="s">
        <v>66</v>
      </c>
      <c r="C1024" s="30" t="s">
        <v>432</v>
      </c>
      <c r="D1024" s="14">
        <f>SUM(D1019:D1023)</f>
        <v>13547187.649999999</v>
      </c>
      <c r="E1024" s="14"/>
      <c r="F1024" s="14">
        <f t="shared" si="380"/>
        <v>13547187.649999999</v>
      </c>
      <c r="H1024" s="14">
        <f>SUM(H1019:H1023)</f>
        <v>13547187.649999999</v>
      </c>
      <c r="J1024" s="14">
        <f t="shared" si="381"/>
        <v>13547187.649999999</v>
      </c>
    </row>
    <row r="1025" spans="1:10" ht="10.5" customHeight="1" x14ac:dyDescent="0.2">
      <c r="A1025" s="5">
        <f t="shared" si="377"/>
        <v>1025</v>
      </c>
      <c r="B1025" s="30"/>
      <c r="C1025" s="30"/>
      <c r="E1025" s="14"/>
      <c r="J1025" s="14"/>
    </row>
    <row r="1026" spans="1:10" ht="10.5" customHeight="1" x14ac:dyDescent="0.2">
      <c r="A1026" s="5">
        <f t="shared" si="377"/>
        <v>1026</v>
      </c>
      <c r="B1026" s="30" t="s">
        <v>433</v>
      </c>
      <c r="C1026" s="30"/>
      <c r="E1026" s="14"/>
      <c r="J1026" s="14"/>
    </row>
    <row r="1027" spans="1:10" ht="10.5" customHeight="1" x14ac:dyDescent="0.2">
      <c r="A1027" s="5">
        <f t="shared" si="377"/>
        <v>1027</v>
      </c>
      <c r="B1027" s="66" t="s">
        <v>434</v>
      </c>
      <c r="C1027" s="30"/>
      <c r="D1027" s="17">
        <v>992870.72</v>
      </c>
      <c r="E1027" s="14"/>
      <c r="F1027" s="14">
        <f t="shared" si="380"/>
        <v>992870.72</v>
      </c>
      <c r="H1027" s="14">
        <f t="shared" ref="H1027:H1031" si="384">F1027</f>
        <v>992870.72</v>
      </c>
      <c r="J1027" s="14">
        <f t="shared" si="381"/>
        <v>992870.72</v>
      </c>
    </row>
    <row r="1028" spans="1:10" ht="10.5" customHeight="1" x14ac:dyDescent="0.2">
      <c r="A1028" s="5">
        <f t="shared" si="377"/>
        <v>1028</v>
      </c>
      <c r="B1028" s="66" t="s">
        <v>435</v>
      </c>
      <c r="C1028" s="30"/>
      <c r="D1028" s="17">
        <v>8260120.5899999999</v>
      </c>
      <c r="E1028" s="14"/>
      <c r="F1028" s="14">
        <f t="shared" ref="F1028:F1041" si="385">D1028+E1028</f>
        <v>8260120.5899999999</v>
      </c>
      <c r="H1028" s="14">
        <f t="shared" si="384"/>
        <v>8260120.5899999999</v>
      </c>
      <c r="J1028" s="14">
        <f t="shared" ref="J1028:J1041" si="386">SUM(H1028:I1028)</f>
        <v>8260120.5899999999</v>
      </c>
    </row>
    <row r="1029" spans="1:10" ht="10.5" customHeight="1" x14ac:dyDescent="0.2">
      <c r="A1029" s="5">
        <f t="shared" si="377"/>
        <v>1029</v>
      </c>
      <c r="B1029" s="66" t="s">
        <v>598</v>
      </c>
      <c r="C1029" s="30"/>
      <c r="D1029" s="14">
        <v>0</v>
      </c>
      <c r="E1029" s="14"/>
      <c r="F1029" s="14">
        <f t="shared" si="385"/>
        <v>0</v>
      </c>
      <c r="H1029" s="14">
        <f t="shared" si="384"/>
        <v>0</v>
      </c>
      <c r="J1029" s="14">
        <f t="shared" si="386"/>
        <v>0</v>
      </c>
    </row>
    <row r="1030" spans="1:10" ht="10.5" customHeight="1" x14ac:dyDescent="0.2">
      <c r="A1030" s="5">
        <f t="shared" si="377"/>
        <v>1030</v>
      </c>
      <c r="B1030" s="66" t="s">
        <v>440</v>
      </c>
      <c r="C1030" s="30"/>
      <c r="D1030" s="17">
        <v>0</v>
      </c>
      <c r="E1030" s="14"/>
      <c r="F1030" s="14">
        <f t="shared" si="385"/>
        <v>0</v>
      </c>
      <c r="H1030" s="14">
        <f t="shared" si="384"/>
        <v>0</v>
      </c>
      <c r="J1030" s="14">
        <f t="shared" si="386"/>
        <v>0</v>
      </c>
    </row>
    <row r="1031" spans="1:10" ht="10.5" customHeight="1" x14ac:dyDescent="0.2">
      <c r="A1031" s="5">
        <f t="shared" si="377"/>
        <v>1031</v>
      </c>
      <c r="B1031" s="66" t="s">
        <v>441</v>
      </c>
      <c r="C1031" s="30"/>
      <c r="D1031" s="17">
        <v>384002.68</v>
      </c>
      <c r="E1031" s="14"/>
      <c r="F1031" s="14">
        <f t="shared" si="385"/>
        <v>384002.68</v>
      </c>
      <c r="H1031" s="14">
        <f t="shared" si="384"/>
        <v>384002.68</v>
      </c>
      <c r="J1031" s="14">
        <f t="shared" si="386"/>
        <v>384002.68</v>
      </c>
    </row>
    <row r="1032" spans="1:10" ht="10.5" customHeight="1" x14ac:dyDescent="0.2">
      <c r="A1032" s="5">
        <f t="shared" si="377"/>
        <v>1032</v>
      </c>
      <c r="B1032" s="30" t="s">
        <v>66</v>
      </c>
      <c r="C1032" s="30" t="s">
        <v>443</v>
      </c>
      <c r="D1032" s="14">
        <f>SUM(D1027:D1031)</f>
        <v>9636993.9900000002</v>
      </c>
      <c r="E1032" s="14"/>
      <c r="F1032" s="14">
        <f t="shared" si="385"/>
        <v>9636993.9900000002</v>
      </c>
      <c r="H1032" s="14">
        <f>SUM(H1027:H1031)</f>
        <v>9636993.9900000002</v>
      </c>
      <c r="J1032" s="14">
        <f t="shared" si="386"/>
        <v>9636993.9900000002</v>
      </c>
    </row>
    <row r="1033" spans="1:10" ht="10.5" customHeight="1" x14ac:dyDescent="0.2">
      <c r="A1033" s="5">
        <f t="shared" si="377"/>
        <v>1033</v>
      </c>
      <c r="B1033" s="78" t="str">
        <f>B876</f>
        <v>TABLE 13-DEVELOPMENT OF LABOR RELATED ALLOCATOR</v>
      </c>
      <c r="C1033" s="30"/>
      <c r="E1033" s="14"/>
      <c r="J1033" s="14"/>
    </row>
    <row r="1034" spans="1:10" ht="10.5" customHeight="1" x14ac:dyDescent="0.2">
      <c r="A1034" s="5">
        <f t="shared" si="377"/>
        <v>1034</v>
      </c>
      <c r="B1034" s="30" t="s">
        <v>444</v>
      </c>
      <c r="C1034" s="30"/>
      <c r="E1034" s="14"/>
      <c r="J1034" s="14"/>
    </row>
    <row r="1035" spans="1:10" ht="10.5" customHeight="1" x14ac:dyDescent="0.2">
      <c r="A1035" s="5">
        <f t="shared" si="377"/>
        <v>1035</v>
      </c>
      <c r="B1035" s="66" t="s">
        <v>445</v>
      </c>
      <c r="C1035" s="30"/>
      <c r="D1035" s="17">
        <v>62498390.640000001</v>
      </c>
      <c r="E1035" s="14"/>
      <c r="F1035" s="14">
        <f t="shared" si="385"/>
        <v>62498390.640000001</v>
      </c>
      <c r="H1035" s="14">
        <f t="shared" ref="H1035:H1038" si="387">F1035</f>
        <v>62498390.640000001</v>
      </c>
      <c r="J1035" s="14">
        <f t="shared" si="386"/>
        <v>62498390.640000001</v>
      </c>
    </row>
    <row r="1036" spans="1:10" ht="10.5" customHeight="1" x14ac:dyDescent="0.2">
      <c r="A1036" s="5">
        <f t="shared" ref="A1036:A1070" si="388">A1035+1</f>
        <v>1036</v>
      </c>
      <c r="B1036" s="66" t="s">
        <v>446</v>
      </c>
      <c r="C1036" s="30"/>
      <c r="D1036" s="17">
        <v>435005.47</v>
      </c>
      <c r="E1036" s="14"/>
      <c r="F1036" s="14">
        <f t="shared" si="385"/>
        <v>435005.47</v>
      </c>
      <c r="H1036" s="14">
        <f t="shared" si="387"/>
        <v>435005.47</v>
      </c>
      <c r="J1036" s="14">
        <f t="shared" si="386"/>
        <v>435005.47</v>
      </c>
    </row>
    <row r="1037" spans="1:10" ht="10.5" customHeight="1" x14ac:dyDescent="0.2">
      <c r="A1037" s="5">
        <f t="shared" si="388"/>
        <v>1037</v>
      </c>
      <c r="B1037" s="66" t="s">
        <v>447</v>
      </c>
      <c r="C1037" s="30"/>
      <c r="D1037" s="17">
        <v>0</v>
      </c>
      <c r="E1037" s="14"/>
      <c r="F1037" s="14">
        <f t="shared" si="385"/>
        <v>0</v>
      </c>
      <c r="H1037" s="14">
        <f t="shared" si="387"/>
        <v>0</v>
      </c>
      <c r="J1037" s="14">
        <f t="shared" si="386"/>
        <v>0</v>
      </c>
    </row>
    <row r="1038" spans="1:10" ht="10.5" customHeight="1" x14ac:dyDescent="0.2">
      <c r="A1038" s="5">
        <f t="shared" si="388"/>
        <v>1038</v>
      </c>
      <c r="B1038" s="66" t="s">
        <v>448</v>
      </c>
      <c r="C1038" s="30"/>
      <c r="D1038" s="17">
        <v>0</v>
      </c>
      <c r="E1038" s="14"/>
      <c r="F1038" s="14">
        <f t="shared" si="385"/>
        <v>0</v>
      </c>
      <c r="H1038" s="14">
        <f t="shared" si="387"/>
        <v>0</v>
      </c>
      <c r="J1038" s="14">
        <f t="shared" si="386"/>
        <v>0</v>
      </c>
    </row>
    <row r="1039" spans="1:10" ht="10.5" customHeight="1" x14ac:dyDescent="0.2">
      <c r="A1039" s="5">
        <f t="shared" si="388"/>
        <v>1039</v>
      </c>
      <c r="B1039" s="66" t="s">
        <v>449</v>
      </c>
      <c r="C1039" s="30"/>
      <c r="E1039" s="14"/>
      <c r="F1039" s="14">
        <f t="shared" si="385"/>
        <v>0</v>
      </c>
      <c r="J1039" s="14">
        <f t="shared" si="386"/>
        <v>0</v>
      </c>
    </row>
    <row r="1040" spans="1:10" ht="10.5" customHeight="1" x14ac:dyDescent="0.2">
      <c r="A1040" s="5">
        <f t="shared" si="388"/>
        <v>1040</v>
      </c>
      <c r="B1040" s="62" t="s">
        <v>450</v>
      </c>
      <c r="C1040" s="30"/>
      <c r="D1040" s="17">
        <v>0</v>
      </c>
      <c r="E1040" s="14"/>
      <c r="F1040" s="14">
        <f t="shared" si="385"/>
        <v>0</v>
      </c>
      <c r="H1040" s="14">
        <f t="shared" ref="H1040:H1041" si="389">F1040</f>
        <v>0</v>
      </c>
      <c r="J1040" s="14">
        <f t="shared" si="386"/>
        <v>0</v>
      </c>
    </row>
    <row r="1041" spans="1:10" ht="10.5" customHeight="1" x14ac:dyDescent="0.2">
      <c r="A1041" s="5">
        <f t="shared" si="388"/>
        <v>1041</v>
      </c>
      <c r="B1041" s="62" t="s">
        <v>451</v>
      </c>
      <c r="C1041" s="30"/>
      <c r="D1041" s="17">
        <v>469600.18</v>
      </c>
      <c r="E1041" s="14"/>
      <c r="F1041" s="14">
        <f t="shared" si="385"/>
        <v>469600.18</v>
      </c>
      <c r="H1041" s="14">
        <f t="shared" si="389"/>
        <v>469600.18</v>
      </c>
      <c r="J1041" s="14">
        <f t="shared" si="386"/>
        <v>469600.18</v>
      </c>
    </row>
    <row r="1042" spans="1:10" ht="10.5" customHeight="1" x14ac:dyDescent="0.2">
      <c r="A1042" s="5">
        <f t="shared" si="388"/>
        <v>1042</v>
      </c>
      <c r="B1042" s="30" t="s">
        <v>66</v>
      </c>
      <c r="C1042" s="62" t="s">
        <v>452</v>
      </c>
      <c r="E1042" s="14"/>
      <c r="J1042" s="14"/>
    </row>
    <row r="1043" spans="1:10" ht="10.5" customHeight="1" x14ac:dyDescent="0.2">
      <c r="A1043" s="5">
        <f t="shared" si="388"/>
        <v>1043</v>
      </c>
      <c r="B1043" s="66" t="s">
        <v>453</v>
      </c>
      <c r="C1043" s="30"/>
      <c r="D1043" s="17">
        <v>164102.15</v>
      </c>
      <c r="E1043" s="14"/>
      <c r="F1043" s="14">
        <f>D1043+E1043</f>
        <v>164102.15</v>
      </c>
      <c r="H1043" s="14">
        <f t="shared" ref="H1043:H1045" si="390">F1043</f>
        <v>164102.15</v>
      </c>
      <c r="J1043" s="14">
        <f>SUM(H1043:I1043)</f>
        <v>164102.15</v>
      </c>
    </row>
    <row r="1044" spans="1:10" ht="10.5" customHeight="1" x14ac:dyDescent="0.2">
      <c r="A1044" s="5">
        <f t="shared" si="388"/>
        <v>1044</v>
      </c>
      <c r="B1044" s="66" t="s">
        <v>454</v>
      </c>
      <c r="C1044" s="30"/>
      <c r="D1044" s="17">
        <v>0</v>
      </c>
      <c r="E1044" s="14"/>
      <c r="F1044" s="14">
        <f>D1044+E1044</f>
        <v>0</v>
      </c>
      <c r="H1044" s="14">
        <f t="shared" si="390"/>
        <v>0</v>
      </c>
      <c r="J1044" s="14">
        <f>SUM(H1044:I1044)</f>
        <v>0</v>
      </c>
    </row>
    <row r="1045" spans="1:10" ht="10.5" customHeight="1" x14ac:dyDescent="0.2">
      <c r="A1045" s="5">
        <f t="shared" si="388"/>
        <v>1045</v>
      </c>
      <c r="B1045" s="66" t="s">
        <v>458</v>
      </c>
      <c r="C1045" s="30"/>
      <c r="D1045" s="17">
        <v>0</v>
      </c>
      <c r="E1045" s="14"/>
      <c r="F1045" s="14">
        <f>D1045+E1045</f>
        <v>0</v>
      </c>
      <c r="H1045" s="14">
        <f t="shared" si="390"/>
        <v>0</v>
      </c>
      <c r="J1045" s="14">
        <f>SUM(H1045:I1045)</f>
        <v>0</v>
      </c>
    </row>
    <row r="1046" spans="1:10" ht="10.5" customHeight="1" x14ac:dyDescent="0.2">
      <c r="A1046" s="5">
        <f t="shared" si="388"/>
        <v>1046</v>
      </c>
      <c r="B1046" s="66" t="s">
        <v>459</v>
      </c>
      <c r="C1046" s="30"/>
      <c r="E1046" s="14"/>
      <c r="J1046" s="14"/>
    </row>
    <row r="1047" spans="1:10" ht="10.5" customHeight="1" x14ac:dyDescent="0.2">
      <c r="A1047" s="5">
        <f t="shared" si="388"/>
        <v>1047</v>
      </c>
      <c r="B1047" s="30" t="s">
        <v>66</v>
      </c>
      <c r="C1047" s="62" t="s">
        <v>460</v>
      </c>
      <c r="E1047" s="14"/>
      <c r="J1047" s="14"/>
    </row>
    <row r="1048" spans="1:10" ht="10.5" customHeight="1" x14ac:dyDescent="0.2">
      <c r="A1048" s="5">
        <f t="shared" si="388"/>
        <v>1048</v>
      </c>
      <c r="B1048" s="30" t="s">
        <v>66</v>
      </c>
      <c r="C1048" s="71" t="s">
        <v>595</v>
      </c>
      <c r="D1048" s="14">
        <v>9.9999999999999998E-13</v>
      </c>
      <c r="E1048" s="14"/>
      <c r="F1048" s="14">
        <f t="shared" ref="F1048:F1060" si="391">D1048+E1048</f>
        <v>9.9999999999999998E-13</v>
      </c>
      <c r="H1048" s="14">
        <f t="shared" ref="H1048:H1065" si="392">F1048</f>
        <v>9.9999999999999998E-13</v>
      </c>
      <c r="J1048" s="14">
        <f t="shared" ref="J1048:J1060" si="393">SUM(H1048:I1048)</f>
        <v>9.9999999999999998E-13</v>
      </c>
    </row>
    <row r="1049" spans="1:10" ht="10.5" customHeight="1" x14ac:dyDescent="0.2">
      <c r="A1049" s="5">
        <f t="shared" si="388"/>
        <v>1049</v>
      </c>
      <c r="B1049" s="30" t="s">
        <v>66</v>
      </c>
      <c r="C1049" s="71" t="s">
        <v>596</v>
      </c>
      <c r="D1049" s="14">
        <v>9.9999999999999998E-13</v>
      </c>
      <c r="E1049" s="14"/>
      <c r="F1049" s="14">
        <f t="shared" si="391"/>
        <v>9.9999999999999998E-13</v>
      </c>
      <c r="H1049" s="14">
        <f t="shared" si="392"/>
        <v>9.9999999999999998E-13</v>
      </c>
      <c r="J1049" s="14">
        <f t="shared" si="393"/>
        <v>9.9999999999999998E-13</v>
      </c>
    </row>
    <row r="1050" spans="1:10" ht="10.5" customHeight="1" x14ac:dyDescent="0.2">
      <c r="A1050" s="5">
        <f t="shared" si="388"/>
        <v>1050</v>
      </c>
      <c r="B1050" s="30" t="s">
        <v>66</v>
      </c>
      <c r="C1050" s="62" t="s">
        <v>599</v>
      </c>
      <c r="D1050" s="14">
        <v>9.9999999999999998E-13</v>
      </c>
      <c r="E1050" s="14"/>
      <c r="F1050" s="14">
        <f t="shared" si="391"/>
        <v>9.9999999999999998E-13</v>
      </c>
      <c r="H1050" s="14">
        <f t="shared" si="392"/>
        <v>9.9999999999999998E-13</v>
      </c>
      <c r="J1050" s="14">
        <f t="shared" si="393"/>
        <v>9.9999999999999998E-13</v>
      </c>
    </row>
    <row r="1051" spans="1:10" ht="10.5" customHeight="1" x14ac:dyDescent="0.2">
      <c r="A1051" s="5">
        <f t="shared" si="388"/>
        <v>1051</v>
      </c>
      <c r="B1051" s="30" t="s">
        <v>66</v>
      </c>
      <c r="C1051" s="62" t="s">
        <v>600</v>
      </c>
      <c r="D1051" s="14">
        <v>9.9999999999999998E-13</v>
      </c>
      <c r="E1051" s="14"/>
      <c r="F1051" s="14">
        <f t="shared" si="391"/>
        <v>9.9999999999999998E-13</v>
      </c>
      <c r="H1051" s="14">
        <f t="shared" si="392"/>
        <v>9.9999999999999998E-13</v>
      </c>
      <c r="J1051" s="14">
        <f t="shared" si="393"/>
        <v>9.9999999999999998E-13</v>
      </c>
    </row>
    <row r="1052" spans="1:10" ht="10.5" customHeight="1" x14ac:dyDescent="0.2">
      <c r="A1052" s="5">
        <f t="shared" si="388"/>
        <v>1052</v>
      </c>
      <c r="B1052" s="30" t="s">
        <v>66</v>
      </c>
      <c r="C1052" s="62" t="s">
        <v>601</v>
      </c>
      <c r="D1052" s="14">
        <v>9.9999999999999998E-13</v>
      </c>
      <c r="E1052" s="14"/>
      <c r="F1052" s="14">
        <f t="shared" si="391"/>
        <v>9.9999999999999998E-13</v>
      </c>
      <c r="H1052" s="14">
        <f t="shared" si="392"/>
        <v>9.9999999999999998E-13</v>
      </c>
      <c r="J1052" s="14">
        <f t="shared" si="393"/>
        <v>9.9999999999999998E-13</v>
      </c>
    </row>
    <row r="1053" spans="1:10" ht="10.5" customHeight="1" x14ac:dyDescent="0.2">
      <c r="A1053" s="5">
        <f t="shared" si="388"/>
        <v>1053</v>
      </c>
      <c r="B1053" s="30" t="s">
        <v>66</v>
      </c>
      <c r="C1053" s="62" t="s">
        <v>602</v>
      </c>
      <c r="D1053" s="14">
        <v>9.9999999999999998E-13</v>
      </c>
      <c r="E1053" s="14"/>
      <c r="F1053" s="14">
        <f t="shared" si="391"/>
        <v>9.9999999999999998E-13</v>
      </c>
      <c r="H1053" s="14">
        <f t="shared" si="392"/>
        <v>9.9999999999999998E-13</v>
      </c>
      <c r="J1053" s="14">
        <f t="shared" si="393"/>
        <v>9.9999999999999998E-13</v>
      </c>
    </row>
    <row r="1054" spans="1:10" ht="10.5" customHeight="1" x14ac:dyDescent="0.2">
      <c r="A1054" s="5">
        <f t="shared" si="388"/>
        <v>1054</v>
      </c>
      <c r="B1054" s="30" t="s">
        <v>66</v>
      </c>
      <c r="C1054" s="62" t="s">
        <v>603</v>
      </c>
      <c r="D1054" s="14">
        <v>9.9999999999999998E-13</v>
      </c>
      <c r="E1054" s="14"/>
      <c r="F1054" s="14">
        <f t="shared" si="391"/>
        <v>9.9999999999999998E-13</v>
      </c>
      <c r="H1054" s="14">
        <f t="shared" si="392"/>
        <v>9.9999999999999998E-13</v>
      </c>
      <c r="J1054" s="14">
        <f t="shared" si="393"/>
        <v>9.9999999999999998E-13</v>
      </c>
    </row>
    <row r="1055" spans="1:10" ht="10.5" customHeight="1" x14ac:dyDescent="0.2">
      <c r="A1055" s="5">
        <f t="shared" si="388"/>
        <v>1055</v>
      </c>
      <c r="B1055" s="30" t="s">
        <v>66</v>
      </c>
      <c r="C1055" s="62" t="s">
        <v>604</v>
      </c>
      <c r="D1055" s="14">
        <v>9.9999999999999998E-13</v>
      </c>
      <c r="E1055" s="14"/>
      <c r="F1055" s="14">
        <f t="shared" si="391"/>
        <v>9.9999999999999998E-13</v>
      </c>
      <c r="H1055" s="14">
        <f t="shared" si="392"/>
        <v>9.9999999999999998E-13</v>
      </c>
      <c r="J1055" s="14">
        <f t="shared" si="393"/>
        <v>9.9999999999999998E-13</v>
      </c>
    </row>
    <row r="1056" spans="1:10" ht="10.5" customHeight="1" x14ac:dyDescent="0.2">
      <c r="A1056" s="5">
        <f t="shared" si="388"/>
        <v>1056</v>
      </c>
      <c r="B1056" s="30" t="s">
        <v>66</v>
      </c>
      <c r="C1056" s="62" t="s">
        <v>605</v>
      </c>
      <c r="D1056" s="14">
        <v>9.9999999999999998E-13</v>
      </c>
      <c r="E1056" s="14"/>
      <c r="F1056" s="14">
        <f t="shared" si="391"/>
        <v>9.9999999999999998E-13</v>
      </c>
      <c r="H1056" s="14">
        <f t="shared" si="392"/>
        <v>9.9999999999999998E-13</v>
      </c>
      <c r="J1056" s="14">
        <f t="shared" si="393"/>
        <v>9.9999999999999998E-13</v>
      </c>
    </row>
    <row r="1057" spans="1:10" ht="10.5" customHeight="1" x14ac:dyDescent="0.2">
      <c r="A1057" s="5">
        <f t="shared" si="388"/>
        <v>1057</v>
      </c>
      <c r="B1057" s="30" t="s">
        <v>66</v>
      </c>
      <c r="C1057" s="62" t="s">
        <v>606</v>
      </c>
      <c r="D1057" s="14">
        <v>9.9999999999999998E-13</v>
      </c>
      <c r="E1057" s="14"/>
      <c r="F1057" s="14">
        <f t="shared" si="391"/>
        <v>9.9999999999999998E-13</v>
      </c>
      <c r="H1057" s="14">
        <f t="shared" si="392"/>
        <v>9.9999999999999998E-13</v>
      </c>
      <c r="J1057" s="14">
        <f t="shared" si="393"/>
        <v>9.9999999999999998E-13</v>
      </c>
    </row>
    <row r="1058" spans="1:10" ht="10.5" customHeight="1" x14ac:dyDescent="0.2">
      <c r="A1058" s="5">
        <f t="shared" si="388"/>
        <v>1058</v>
      </c>
      <c r="B1058" s="30" t="s">
        <v>66</v>
      </c>
      <c r="C1058" s="62" t="s">
        <v>607</v>
      </c>
      <c r="D1058" s="14">
        <v>9.9999999999999998E-13</v>
      </c>
      <c r="E1058" s="14"/>
      <c r="F1058" s="14">
        <f t="shared" si="391"/>
        <v>9.9999999999999998E-13</v>
      </c>
      <c r="H1058" s="14">
        <f t="shared" si="392"/>
        <v>9.9999999999999998E-13</v>
      </c>
      <c r="J1058" s="14">
        <f t="shared" si="393"/>
        <v>9.9999999999999998E-13</v>
      </c>
    </row>
    <row r="1059" spans="1:10" ht="10.5" customHeight="1" x14ac:dyDescent="0.2">
      <c r="A1059" s="5">
        <f t="shared" si="388"/>
        <v>1059</v>
      </c>
      <c r="B1059" s="30"/>
      <c r="C1059" s="62" t="s">
        <v>608</v>
      </c>
      <c r="D1059" s="14">
        <v>0</v>
      </c>
      <c r="E1059" s="14"/>
      <c r="F1059" s="14">
        <f t="shared" si="391"/>
        <v>0</v>
      </c>
      <c r="H1059" s="14">
        <f t="shared" si="392"/>
        <v>0</v>
      </c>
      <c r="J1059" s="14">
        <f t="shared" si="393"/>
        <v>0</v>
      </c>
    </row>
    <row r="1060" spans="1:10" ht="10.5" customHeight="1" x14ac:dyDescent="0.2">
      <c r="A1060" s="5">
        <f t="shared" si="388"/>
        <v>1060</v>
      </c>
      <c r="B1060" s="30"/>
      <c r="C1060" s="62" t="s">
        <v>609</v>
      </c>
      <c r="D1060" s="14">
        <v>9.9999999999999998E-17</v>
      </c>
      <c r="E1060" s="14"/>
      <c r="F1060" s="14">
        <f t="shared" si="391"/>
        <v>9.9999999999999998E-17</v>
      </c>
      <c r="H1060" s="14">
        <f t="shared" si="392"/>
        <v>9.9999999999999998E-17</v>
      </c>
      <c r="J1060" s="14">
        <f t="shared" si="393"/>
        <v>9.9999999999999998E-17</v>
      </c>
    </row>
    <row r="1061" spans="1:10" ht="10.5" customHeight="1" x14ac:dyDescent="0.2">
      <c r="A1061" s="5">
        <f t="shared" si="388"/>
        <v>1061</v>
      </c>
      <c r="B1061" s="30"/>
      <c r="C1061" s="66" t="s">
        <v>471</v>
      </c>
      <c r="E1061" s="14"/>
      <c r="G1061" s="16"/>
      <c r="J1061" s="14"/>
    </row>
    <row r="1062" spans="1:10" ht="10.5" customHeight="1" x14ac:dyDescent="0.2">
      <c r="A1062" s="5">
        <f t="shared" si="388"/>
        <v>1062</v>
      </c>
      <c r="B1062" s="66" t="s">
        <v>472</v>
      </c>
      <c r="C1062" s="30"/>
      <c r="D1062" s="14">
        <v>9.9999999999999994E-12</v>
      </c>
      <c r="E1062" s="14"/>
      <c r="F1062" s="14">
        <f t="shared" ref="F1062:F1070" si="394">D1062+E1062</f>
        <v>9.9999999999999994E-12</v>
      </c>
      <c r="H1062" s="14">
        <f t="shared" si="392"/>
        <v>9.9999999999999994E-12</v>
      </c>
      <c r="J1062" s="14">
        <f>SUM(H1062:I1062)</f>
        <v>9.9999999999999994E-12</v>
      </c>
    </row>
    <row r="1063" spans="1:10" ht="10.5" customHeight="1" x14ac:dyDescent="0.2">
      <c r="A1063" s="5">
        <f t="shared" si="388"/>
        <v>1063</v>
      </c>
      <c r="B1063" s="66" t="s">
        <v>473</v>
      </c>
      <c r="C1063" s="30"/>
      <c r="D1063" s="14">
        <v>1E-10</v>
      </c>
      <c r="E1063" s="14"/>
      <c r="F1063" s="14">
        <f t="shared" si="394"/>
        <v>1E-10</v>
      </c>
      <c r="H1063" s="14">
        <f t="shared" si="392"/>
        <v>1E-10</v>
      </c>
      <c r="J1063" s="14">
        <f>SUM(H1063:I1063)</f>
        <v>1E-10</v>
      </c>
    </row>
    <row r="1064" spans="1:10" ht="10.5" customHeight="1" x14ac:dyDescent="0.2">
      <c r="A1064" s="5">
        <f t="shared" si="388"/>
        <v>1064</v>
      </c>
      <c r="B1064" s="66" t="s">
        <v>474</v>
      </c>
      <c r="C1064" s="30"/>
      <c r="D1064" s="17">
        <v>161675.03</v>
      </c>
      <c r="E1064" s="14"/>
      <c r="F1064" s="14">
        <f t="shared" si="394"/>
        <v>161675.03</v>
      </c>
      <c r="H1064" s="14">
        <f t="shared" si="392"/>
        <v>161675.03</v>
      </c>
      <c r="J1064" s="14">
        <f>SUM(H1064:I1064)</f>
        <v>161675.03</v>
      </c>
    </row>
    <row r="1065" spans="1:10" ht="10.5" customHeight="1" x14ac:dyDescent="0.2">
      <c r="A1065" s="5">
        <f t="shared" si="388"/>
        <v>1065</v>
      </c>
      <c r="B1065" s="66" t="s">
        <v>475</v>
      </c>
      <c r="C1065" s="30"/>
      <c r="D1065" s="70">
        <v>0</v>
      </c>
      <c r="E1065" s="14"/>
      <c r="F1065" s="14">
        <f t="shared" si="394"/>
        <v>0</v>
      </c>
      <c r="H1065" s="14">
        <f t="shared" si="392"/>
        <v>0</v>
      </c>
      <c r="J1065" s="14">
        <f>SUM(H1065:I1065)</f>
        <v>0</v>
      </c>
    </row>
    <row r="1066" spans="1:10" ht="10.5" customHeight="1" x14ac:dyDescent="0.2">
      <c r="A1066" s="5">
        <f t="shared" si="388"/>
        <v>1066</v>
      </c>
      <c r="B1066" s="30" t="str">
        <f>" "</f>
        <v xml:space="preserve"> </v>
      </c>
      <c r="C1066" s="66" t="s">
        <v>476</v>
      </c>
      <c r="D1066" s="14">
        <f>SUM(D1035:D1065)</f>
        <v>63728773.469999999</v>
      </c>
      <c r="E1066" s="14"/>
      <c r="F1066" s="14">
        <f t="shared" si="394"/>
        <v>63728773.469999999</v>
      </c>
      <c r="H1066" s="14">
        <f>SUM(H1035:H1065)</f>
        <v>63728773.469999999</v>
      </c>
      <c r="I1066" s="14">
        <f t="shared" ref="I1066:J1066" si="395">SUM(I1035:I1065)</f>
        <v>0</v>
      </c>
      <c r="J1066" s="14">
        <f t="shared" si="395"/>
        <v>63728773.469999999</v>
      </c>
    </row>
    <row r="1067" spans="1:10" ht="10.5" customHeight="1" x14ac:dyDescent="0.2">
      <c r="A1067" s="5">
        <f t="shared" si="388"/>
        <v>1067</v>
      </c>
      <c r="B1067" s="30" t="s">
        <v>477</v>
      </c>
      <c r="C1067" s="30"/>
      <c r="E1067" s="14"/>
      <c r="F1067" s="14">
        <f t="shared" si="394"/>
        <v>0</v>
      </c>
      <c r="J1067" s="14">
        <f>SUM(H1067:I1067)</f>
        <v>0</v>
      </c>
    </row>
    <row r="1068" spans="1:10" ht="10.5" customHeight="1" x14ac:dyDescent="0.2">
      <c r="A1068" s="5">
        <f t="shared" si="388"/>
        <v>1068</v>
      </c>
      <c r="B1068" s="66" t="s">
        <v>478</v>
      </c>
      <c r="C1068" s="30"/>
      <c r="D1068" s="17">
        <v>1333128.1599999999</v>
      </c>
      <c r="E1068" s="14"/>
      <c r="F1068" s="14">
        <f t="shared" si="394"/>
        <v>1333128.1599999999</v>
      </c>
      <c r="H1068" s="14">
        <f t="shared" ref="H1068" si="396">F1068</f>
        <v>1333128.1599999999</v>
      </c>
      <c r="J1068" s="14">
        <f>SUM(H1068:I1068)</f>
        <v>1333128.1599999999</v>
      </c>
    </row>
    <row r="1069" spans="1:10" ht="10.5" customHeight="1" x14ac:dyDescent="0.2">
      <c r="A1069" s="5">
        <f t="shared" si="388"/>
        <v>1069</v>
      </c>
      <c r="B1069" s="66" t="s">
        <v>479</v>
      </c>
      <c r="C1069" s="30"/>
      <c r="D1069" s="14">
        <v>0</v>
      </c>
      <c r="E1069" s="14"/>
      <c r="F1069" s="14">
        <f t="shared" si="394"/>
        <v>0</v>
      </c>
      <c r="H1069" s="14">
        <v>0</v>
      </c>
      <c r="J1069" s="14">
        <f>SUM(H1069:I1069)</f>
        <v>0</v>
      </c>
    </row>
    <row r="1070" spans="1:10" ht="10.5" customHeight="1" x14ac:dyDescent="0.2">
      <c r="A1070" s="5">
        <f t="shared" si="388"/>
        <v>1070</v>
      </c>
      <c r="B1070" s="30" t="s">
        <v>66</v>
      </c>
      <c r="C1070" s="62" t="s">
        <v>480</v>
      </c>
      <c r="D1070" s="14">
        <f>SUM(D968,D989,D1016,D1024,D1032,D1066,D1068,D1069)</f>
        <v>190355466.53</v>
      </c>
      <c r="E1070" s="14"/>
      <c r="F1070" s="14">
        <f t="shared" si="394"/>
        <v>190355466.53</v>
      </c>
      <c r="H1070" s="14">
        <f>SUM(H968,H989,H1016,H1024,H1032,H1066,H1068,H1069)</f>
        <v>190355466.53</v>
      </c>
      <c r="I1070" s="14">
        <f t="shared" ref="I1070:J1070" si="397">SUM(I968,I989,I1016,I1024,I1032,I1066,I1068,I1069)</f>
        <v>0</v>
      </c>
      <c r="J1070" s="14">
        <f t="shared" si="397"/>
        <v>190355466.53</v>
      </c>
    </row>
    <row r="1071" spans="1:10" ht="10.5" customHeight="1" x14ac:dyDescent="0.2">
      <c r="B1071" s="16"/>
      <c r="C1071" s="16"/>
      <c r="E1071" s="14"/>
      <c r="G1071" s="79"/>
      <c r="I1071" s="79"/>
      <c r="J1071" s="14"/>
    </row>
    <row r="1072" spans="1:10" ht="10.5" customHeight="1" x14ac:dyDescent="0.2">
      <c r="D1072" s="14" t="s">
        <v>610</v>
      </c>
      <c r="E1072" s="14"/>
      <c r="J1072" s="14"/>
    </row>
    <row r="1073" spans="5:10" ht="10.5" customHeight="1" x14ac:dyDescent="0.2">
      <c r="E1073" s="14"/>
      <c r="J1073" s="14"/>
    </row>
    <row r="1074" spans="5:10" ht="10.5" customHeight="1" x14ac:dyDescent="0.2">
      <c r="E1074" s="14"/>
      <c r="J1074" s="14"/>
    </row>
    <row r="1075" spans="5:10" ht="10.5" customHeight="1" x14ac:dyDescent="0.2">
      <c r="E1075" s="14"/>
      <c r="J1075" s="14"/>
    </row>
    <row r="1076" spans="5:10" ht="10.5" customHeight="1" x14ac:dyDescent="0.2">
      <c r="E1076" s="14"/>
    </row>
    <row r="1077" spans="5:10" ht="10.5" customHeight="1" x14ac:dyDescent="0.2">
      <c r="E1077" s="14"/>
    </row>
  </sheetData>
  <mergeCells count="2">
    <mergeCell ref="B2:C2"/>
    <mergeCell ref="B3:C3"/>
  </mergeCells>
  <phoneticPr fontId="0" type="noConversion"/>
  <printOptions horizontalCentered="1"/>
  <pageMargins left="0.7" right="0.7" top="0.75" bottom="0.75" header="0.3" footer="0.3"/>
  <pageSetup scale="73" fitToHeight="500" pageOrder="overThenDown" orientation="landscape" horizontalDpi="300" verticalDpi="300" r:id="rId1"/>
  <headerFooter alignWithMargins="0">
    <oddHeader>&amp;C&amp;"Arial,Bold"&amp;10IDAHO POWER COMPANY
DEVELOPMENT OF SYSTEM REVENUE REQUIREMENT
FOR THE TEST YEAR ENDING DECEMBER 31, 2025</oddHeader>
    <oddFooter xml:space="preserve">&amp;R&amp;"Arial,Regular"Exhibit No. 28
Case No. IPC-E-25-16
K. Noe, IPC
Page &amp;P of &amp;N
</oddFooter>
  </headerFooter>
  <rowBreaks count="28" manualBreakCount="28">
    <brk id="49" max="11" man="1"/>
    <brk id="112" max="11" man="1"/>
    <brk id="158" max="11" man="1"/>
    <brk id="206" max="11" man="1"/>
    <brk id="241" max="11" man="1"/>
    <brk id="272" max="11" man="1"/>
    <brk id="314" max="11" man="1"/>
    <brk id="365" max="11" man="1"/>
    <brk id="411" max="11" man="1"/>
    <brk id="443" max="11" man="1"/>
    <brk id="471" max="11" man="1"/>
    <brk id="518" max="11" man="1"/>
    <brk id="555" max="11" man="1"/>
    <brk id="601" max="11" man="1"/>
    <brk id="640" max="11" man="1"/>
    <brk id="674" max="11" man="1"/>
    <brk id="706" max="11" man="1"/>
    <brk id="741" max="11" man="1"/>
    <brk id="749" max="11" man="1"/>
    <brk id="767" max="11" man="1"/>
    <brk id="806" max="11" man="1"/>
    <brk id="836" max="11" man="1"/>
    <brk id="875" max="11" man="1"/>
    <brk id="907" max="11" man="1"/>
    <brk id="932" max="11" man="1"/>
    <brk id="968" max="11" man="1"/>
    <brk id="989" max="11" man="1"/>
    <brk id="1032" max="11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E355C1AF9EC9489455BE76196417F9" ma:contentTypeVersion="8" ma:contentTypeDescription="Create a new document." ma:contentTypeScope="" ma:versionID="7aabf5ca7f3c62b7b239fd85fa028201">
  <xsd:schema xmlns:xsd="http://www.w3.org/2001/XMLSchema" xmlns:xs="http://www.w3.org/2001/XMLSchema" xmlns:p="http://schemas.microsoft.com/office/2006/metadata/properties" xmlns:ns2="a861b690-d0a9-4018-97d6-298fd6205a36" xmlns:ns3="d73927f9-2b79-496a-80ac-9ef64eb03c7b" targetNamespace="http://schemas.microsoft.com/office/2006/metadata/properties" ma:root="true" ma:fieldsID="e59beb11bb47b0b8343e38fe010f1a44" ns2:_="" ns3:_="">
    <xsd:import namespace="a861b690-d0a9-4018-97d6-298fd6205a36"/>
    <xsd:import namespace="d73927f9-2b79-496a-80ac-9ef64eb03c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AddedInfo" minOccurs="0"/>
                <xsd:element ref="ns2:SortOrder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1b690-d0a9-4018-97d6-298fd6205a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ddedInfo" ma:index="13" nillable="true" ma:displayName="Added Info" ma:description="Further information on the file/folder" ma:format="Dropdown" ma:internalName="AddedInfo">
      <xsd:simpleType>
        <xsd:restriction base="dms:Note">
          <xsd:maxLength value="255"/>
        </xsd:restriction>
      </xsd:simpleType>
    </xsd:element>
    <xsd:element name="SortOrderr" ma:index="14" nillable="true" ma:displayName="Sort Orderr" ma:format="Dropdown" ma:internalName="SortOrderr" ma:percentage="FALSE">
      <xsd:simpleType>
        <xsd:restriction base="dms:Number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927f9-2b79-496a-80ac-9ef64eb03c7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dedInfo xmlns="a861b690-d0a9-4018-97d6-298fd6205a36" xsi:nil="true"/>
    <SortOrderr xmlns="a861b690-d0a9-4018-97d6-298fd6205a36" xsi:nil="true"/>
  </documentManagement>
</p:properties>
</file>

<file path=customXml/itemProps1.xml><?xml version="1.0" encoding="utf-8"?>
<ds:datastoreItem xmlns:ds="http://schemas.openxmlformats.org/officeDocument/2006/customXml" ds:itemID="{62D2BF80-F5F2-4CCB-B899-6FEED31CE9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247B31-938C-4A8D-8012-2288D73E9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1b690-d0a9-4018-97d6-298fd6205a36"/>
    <ds:schemaRef ds:uri="d73927f9-2b79-496a-80ac-9ef64eb03c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486241-3228-43BC-9D49-4BB077925CA4}">
  <ds:schemaRefs>
    <ds:schemaRef ds:uri="http://schemas.microsoft.com/office/2006/metadata/properties"/>
    <ds:schemaRef ds:uri="http://schemas.microsoft.com/office/infopath/2007/PartnerControls"/>
    <ds:schemaRef ds:uri="a861b690-d0a9-4018-97d6-298fd6205a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System RevReq</vt:lpstr>
      <vt:lpstr>'System RevReq'!Print_Area</vt:lpstr>
      <vt:lpstr>'System RevReq'!Print_Titles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2008-05-27T17:21:16Z</dcterms:created>
  <dcterms:modified xsi:type="dcterms:W3CDTF">2025-05-29T18:21:49Z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{5CDF7727-F69E-408C-9621-EEB27458BF86}</vt:lpwstr>
  </property>
  <property fmtid="{D5CDD505-2E9C-101B-9397-08002B2CF9AE}" pid="3" name="ContentTypeId">
    <vt:lpwstr>0x010100A9E355C1AF9EC9489455BE76196417F9</vt:lpwstr>
  </property>
</Properties>
</file>